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files" sheetId="2" state="visible" r:id="rId4"/>
    <sheet name="Buffers" sheetId="3" state="visible" r:id="rId5"/>
    <sheet name="Usage" sheetId="4" state="visible" r:id="rId6"/>
    <sheet name="Open supply" sheetId="5" state="visible" r:id="rId7"/>
    <sheet name="Open demand" sheetId="6" state="visible" r:id="rId8"/>
  </sheets>
  <definedNames>
    <definedName function="false" hidden="false" name="AduWindow" vbProcedure="false">'Start here'!$D$7</definedName>
    <definedName function="false" hidden="false" name="DefaultProfile" vbProcedure="false">'Start here'!$D$10</definedName>
    <definedName function="false" hidden="false" name="PlanDate" vbProcedure="false">'Start here'!$D$6</definedName>
    <definedName function="false" hidden="false" name="SpikeHorizon" vbProcedure="false">'Start here'!$D$9</definedName>
    <definedName function="false" hidden="false" name="SpikePct" vbProcedure="false">'Start here'!$D$8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Item number. Must match the SKU on the Usage, Open supply and Open demand sheets.</t>
        </r>
      </text>
    </comment>
    <comment ref="C1" authorId="0">
      <text>
        <r>
          <rPr>
            <sz val="10"/>
            <rFont val="Arial"/>
            <family val="2"/>
          </rPr>
          <t xml:space="preserve">Buffer profile ID from the Profiles sheet. Blank uses the default profile.</t>
        </r>
      </text>
    </comment>
    <comment ref="D1" authorId="0">
      <text>
        <r>
          <rPr>
            <sz val="10"/>
            <rFont val="Arial"/>
            <family val="2"/>
          </rPr>
          <t xml:space="preserve">Decoupled lead time in days.</t>
        </r>
      </text>
    </comment>
    <comment ref="E1" authorId="0">
      <text>
        <r>
          <rPr>
            <sz val="10"/>
            <rFont val="Arial"/>
            <family val="2"/>
          </rPr>
          <t xml:space="preserve">Minimum order quantity (optional).</t>
        </r>
      </text>
    </comment>
    <comment ref="F1" authorId="0">
      <text>
        <r>
          <rPr>
            <sz val="10"/>
            <rFont val="Arial"/>
            <family val="2"/>
          </rPr>
          <t xml:space="preserve">Pack size: orders are rounded up to a multiple of this (optional).</t>
        </r>
      </text>
    </comment>
    <comment ref="G1" authorId="0">
      <text>
        <r>
          <rPr>
            <sz val="10"/>
            <rFont val="Arial"/>
            <family val="2"/>
          </rPr>
          <t xml:space="preserve">Desired days between orders (optional). Sets a minimum green zone.</t>
        </r>
      </text>
    </comment>
    <comment ref="H1" authorId="0">
      <text>
        <r>
          <rPr>
            <sz val="10"/>
            <rFont val="Arial"/>
            <family val="2"/>
          </rPr>
          <t xml:space="preserve">Usable stock on hand today.</t>
        </r>
      </text>
    </comment>
    <comment ref="I1" authorId="0">
      <text>
        <r>
          <rPr>
            <sz val="10"/>
            <rFont val="Arial"/>
            <family val="2"/>
          </rPr>
          <t xml:space="preserve">Optional. Overrides ADU from usage.</t>
        </r>
      </text>
    </comment>
    <comment ref="W1" authorId="0">
      <text>
        <r>
          <rPr>
            <sz val="10"/>
            <rFont val="Arial"/>
            <family val="2"/>
          </rPr>
          <t xml:space="preserve">Open supply due before the plan date. It still counts as on order; follow it up.</t>
        </r>
      </text>
    </comment>
    <comment ref="AA1" authorId="0">
      <text>
        <r>
          <rPr>
            <sz val="10"/>
            <rFont val="Arial"/>
            <family val="2"/>
          </rPr>
          <t xml:space="preserve">Net flow ÷ top of green. Sort ascending to plan the most urgent items first.</t>
        </r>
      </text>
    </comment>
    <comment ref="AE1" authorId="0">
      <text>
        <r>
          <rPr>
            <sz val="10"/>
            <rFont val="Arial"/>
            <family val="2"/>
          </rPr>
          <t xml:space="preserve">Helper: the SKU as text, so 456 and "456" are the same item.</t>
        </r>
      </text>
    </comment>
    <comment ref="AF1" authorId="0">
      <text>
        <r>
          <rPr>
            <sz val="10"/>
            <rFont val="Arial"/>
            <family val="2"/>
          </rPr>
          <t xml:space="preserve">Helper: the SKU as text with * ? ~ escaped so lookups match it literally.</t>
        </r>
      </text>
    </comment>
  </commentList>
</comments>
</file>

<file path=xl/sharedStrings.xml><?xml version="1.0" encoding="utf-8"?>
<sst xmlns="http://schemas.openxmlformats.org/spreadsheetml/2006/main" count="1226" uniqueCount="150">
  <si>
    <t xml:space="preserve">DDMRP Buffer Planning Template</t>
  </si>
  <si>
    <t xml:space="preserve">Free from inventorybuffercalculator.com · version 1.0, October 2026</t>
  </si>
  <si>
    <t xml:space="preserve">Size red, yellow and green buffers, net your stock and open orders, and list what to order today. The example rows use made-up items; replace them with your own.</t>
  </si>
  <si>
    <t xml:space="preserve">Settings</t>
  </si>
  <si>
    <t xml:space="preserve">Plan date</t>
  </si>
  <si>
    <t xml:space="preserve">Usually today. Type a date to plan as of another day. Example dates elsewhere are set relative to this date.</t>
  </si>
  <si>
    <t xml:space="preserve">ADU window (days)</t>
  </si>
  <si>
    <t xml:space="preserve">ADU from usage = total usage in the N days before the plan date ÷ N.</t>
  </si>
  <si>
    <t xml:space="preserve">Spike threshold (% of red zone)</t>
  </si>
  <si>
    <t xml:space="preserve">A future day's total open demand for an item qualifies as a spike at or above this share of its red zone.</t>
  </si>
  <si>
    <t xml:space="preserve">Spike horizon (days)</t>
  </si>
  <si>
    <t xml:space="preserve">Leave blank to use each item's decoupled lead time (DLT).</t>
  </si>
  <si>
    <t xml:space="preserve">Default buffer profile</t>
  </si>
  <si>
    <t xml:space="preserve">MM</t>
  </si>
  <si>
    <t xml:space="preserve">Used when an item's profile is blank or not on the Profiles sheet.</t>
  </si>
  <si>
    <t xml:space="preserve">Today's summary</t>
  </si>
  <si>
    <t xml:space="preserve">Items in the red zone</t>
  </si>
  <si>
    <t xml:space="preserve">Items in the yellow zone</t>
  </si>
  <si>
    <t xml:space="preserve">Items in the green zone</t>
  </si>
  <si>
    <t xml:space="preserve">Items above the top of green</t>
  </si>
  <si>
    <t xml:space="preserve">Orders to place today</t>
  </si>
  <si>
    <t xml:space="preserve">On-hand alerts (stockout or critical)</t>
  </si>
  <si>
    <t xml:space="preserve">Items that need data</t>
  </si>
  <si>
    <t xml:space="preserve">Items with no recent demand</t>
  </si>
  <si>
    <t xml:space="preserve">How to use it</t>
  </si>
  <si>
    <t xml:space="preserve">1. Profiles: keep the nine starting buffer profiles or change their factors.</t>
  </si>
  <si>
    <t xml:space="preserve">2. Buffers: one row per item. Fill the yellow columns: SKU, description, profile, lead time (DLT), MOQ, order multiple, order cycle and on hand. Enter a manual ADU only for items without usage history.</t>
  </si>
  <si>
    <t xml:space="preserve">3. Usage: paste usage history (SKU, date, quantity), one row per item per day or per transaction. ADU is calculated from it.</t>
  </si>
  <si>
    <t xml:space="preserve">4. Open supply: paste open purchase, production and transfer orders. All of them count as on order; late ones are flagged.</t>
  </si>
  <si>
    <t xml:space="preserve">5. Open demand: paste open customer orders. Past-due, due-today and spike days count as qualified demand; the rest is covered by the buffer.</t>
  </si>
  <si>
    <t xml:space="preserve">6. Back on Buffers, read the zone, priority and order quantity. Sort by priority, lowest first, to work the most urgent items first.</t>
  </si>
  <si>
    <t xml:space="preserve">Delete the example rows before pasting your data. Formulas are filled down for 500 items and 2,000 order lines; copy them further down if you need more.</t>
  </si>
  <si>
    <t xml:space="preserve">SKUs must match exactly across sheets (no leading zeros on one sheet and not another), and dates must be real dates, not text.</t>
  </si>
  <si>
    <t xml:space="preserve">Legend</t>
  </si>
  <si>
    <t xml:space="preserve">Yellow cell</t>
  </si>
  <si>
    <t xml:space="preserve">Your input</t>
  </si>
  <si>
    <t xml:space="preserve">White cell</t>
  </si>
  <si>
    <t xml:space="preserve">Formula: don't type over it</t>
  </si>
  <si>
    <t xml:space="preserve">Formulas</t>
  </si>
  <si>
    <t xml:space="preserve">ADU from usage</t>
  </si>
  <si>
    <t xml:space="preserve">Usage in the ADU window before the plan date ÷ window days</t>
  </si>
  <si>
    <t xml:space="preserve">Red zone</t>
  </si>
  <si>
    <t xml:space="preserve">ADU × DLT × lead time factor × (1 + variability factor)</t>
  </si>
  <si>
    <t xml:space="preserve">Yellow zone</t>
  </si>
  <si>
    <t xml:space="preserve">ADU × DLT</t>
  </si>
  <si>
    <t xml:space="preserve">Green zone</t>
  </si>
  <si>
    <t xml:space="preserve">Largest of MOQ, ADU × DLT × lead time factor, and ADU × order cycle</t>
  </si>
  <si>
    <t xml:space="preserve">Top of red / yellow / green</t>
  </si>
  <si>
    <t xml:space="preserve">Red; red + yellow; red + yellow + green</t>
  </si>
  <si>
    <t xml:space="preserve">Qualified demand</t>
  </si>
  <si>
    <t xml:space="preserve">Past-due + due-today demand + spike days within the horizon</t>
  </si>
  <si>
    <t xml:space="preserve">Net flow position</t>
  </si>
  <si>
    <t xml:space="preserve">On hand + all open supply − qualified demand</t>
  </si>
  <si>
    <t xml:space="preserve">Order</t>
  </si>
  <si>
    <t xml:space="preserve">If net flow ≤ top of yellow: top of green − net flow, raised to the MOQ, rounded up to the order multiple (or whole units)</t>
  </si>
  <si>
    <t xml:space="preserve">Priority</t>
  </si>
  <si>
    <t xml:space="preserve">Net flow position ÷ top of green (lower is more urgent)</t>
  </si>
  <si>
    <t xml:space="preserve">On-hand alert</t>
  </si>
  <si>
    <t xml:space="preserve">Stockout at 0 or below; critical below half the red zone; low at or below the red zone</t>
  </si>
  <si>
    <t xml:space="preserve">Notes</t>
  </si>
  <si>
    <t xml:space="preserve">Independent template, not affiliated with or endorsed by the Demand Driven Institute. "DDMRP" describes the publicly documented method.</t>
  </si>
  <si>
    <t xml:space="preserve">Results are decision support. Review every order before you place it.</t>
  </si>
  <si>
    <t xml:space="preserve">Built for Excel; also checked in LibreOffice Calc. It uses only standard functions (SUMIFS, INDEX, MATCH, ROUNDUP).</t>
  </si>
  <si>
    <t xml:space="preserve">Prefer importing ERP CSV exports? The free planner does this in your browser: https://inventorybuffercalculator.com/planner</t>
  </si>
  <si>
    <t xml:space="preserve">Worked examples of every formula: https://inventorybuffercalculator.com/guides</t>
  </si>
  <si>
    <t xml:space="preserve">Profile ID</t>
  </si>
  <si>
    <t xml:space="preserve">Lead time</t>
  </si>
  <si>
    <t xml:space="preserve">Variability</t>
  </si>
  <si>
    <t xml:space="preserve">Lead time factor</t>
  </si>
  <si>
    <t xml:space="preserve">Variability factor</t>
  </si>
  <si>
    <t xml:space="preserve">SL</t>
  </si>
  <si>
    <t xml:space="preserve">Short</t>
  </si>
  <si>
    <t xml:space="preserve">Low</t>
  </si>
  <si>
    <t xml:space="preserve">SM</t>
  </si>
  <si>
    <t xml:space="preserve">Medium</t>
  </si>
  <si>
    <t xml:space="preserve">SH</t>
  </si>
  <si>
    <t xml:space="preserve">High</t>
  </si>
  <si>
    <t xml:space="preserve">ML</t>
  </si>
  <si>
    <t xml:space="preserve">MH</t>
  </si>
  <si>
    <t xml:space="preserve">LL</t>
  </si>
  <si>
    <t xml:space="preserve">Long</t>
  </si>
  <si>
    <t xml:space="preserve">LM</t>
  </si>
  <si>
    <t xml:space="preserve">LH</t>
  </si>
  <si>
    <t xml:space="preserve">Starting values only: short lead times get a larger lead time factor, and higher variability a larger variability factor. Tune them to your items. Add rows for your own profiles (IDs must be unique).</t>
  </si>
  <si>
    <t xml:space="preserve">SKU</t>
  </si>
  <si>
    <t xml:space="preserve">Description</t>
  </si>
  <si>
    <t xml:space="preserve">Profile</t>
  </si>
  <si>
    <t xml:space="preserve">DLT (days)</t>
  </si>
  <si>
    <t xml:space="preserve">MOQ</t>
  </si>
  <si>
    <t xml:space="preserve">Order multiple</t>
  </si>
  <si>
    <t xml:space="preserve">Order cycle (days)</t>
  </si>
  <si>
    <t xml:space="preserve">On hand</t>
  </si>
  <si>
    <t xml:space="preserve">Manual ADU</t>
  </si>
  <si>
    <t xml:space="preserve">ADU used</t>
  </si>
  <si>
    <t xml:space="preserve">Status</t>
  </si>
  <si>
    <t xml:space="preserve">Profile used</t>
  </si>
  <si>
    <t xml:space="preserve">Top of red</t>
  </si>
  <si>
    <t xml:space="preserve">Top of yellow</t>
  </si>
  <si>
    <t xml:space="preserve">Top of green</t>
  </si>
  <si>
    <t xml:space="preserve">On order</t>
  </si>
  <si>
    <t xml:space="preserve">Late supply</t>
  </si>
  <si>
    <t xml:space="preserve">Zone</t>
  </si>
  <si>
    <t xml:space="preserve">Order qty</t>
  </si>
  <si>
    <t xml:space="preserve">Need by</t>
  </si>
  <si>
    <t xml:space="preserve">SKU as text</t>
  </si>
  <si>
    <t xml:space="preserve">SKU match key</t>
  </si>
  <si>
    <t xml:space="preserve">BRG-6204</t>
  </si>
  <si>
    <t xml:space="preserve">Ball bearing 6204-2RS</t>
  </si>
  <si>
    <t xml:space="preserve">SEAL-KIT-220</t>
  </si>
  <si>
    <t xml:space="preserve">Pump seal kit 220</t>
  </si>
  <si>
    <t xml:space="preserve">FLT-HYD-10</t>
  </si>
  <si>
    <t xml:space="preserve">Hydraulic filter 10 micron</t>
  </si>
  <si>
    <t xml:space="preserve">MTR-1HP-TEFC</t>
  </si>
  <si>
    <t xml:space="preserve">Motor 1 HP TEFC 1800 rpm</t>
  </si>
  <si>
    <t xml:space="preserve">HOSE-38-50</t>
  </si>
  <si>
    <t xml:space="preserve">Hose 3/8 in, 50 ft reel</t>
  </si>
  <si>
    <t xml:space="preserve">BOLT-M8-40</t>
  </si>
  <si>
    <t xml:space="preserve">Hex bolt M8 × 40 zinc</t>
  </si>
  <si>
    <t xml:space="preserve">GSKT-150-RF</t>
  </si>
  <si>
    <t xml:space="preserve">Gasket 150# RF 2 in</t>
  </si>
  <si>
    <t xml:space="preserve">VLV-BALL-1</t>
  </si>
  <si>
    <t xml:space="preserve">Ball valve 1 in stainless</t>
  </si>
  <si>
    <t xml:space="preserve">CPL-JAW-L100</t>
  </si>
  <si>
    <t xml:space="preserve">Jaw coupling L100</t>
  </si>
  <si>
    <t xml:space="preserve">GRS-EP2-14</t>
  </si>
  <si>
    <t xml:space="preserve">EP2 grease, 14 oz tube</t>
  </si>
  <si>
    <t xml:space="preserve">BLT-A42</t>
  </si>
  <si>
    <t xml:space="preserve">V-belt A42</t>
  </si>
  <si>
    <t xml:space="preserve">SNSR-PROX-12</t>
  </si>
  <si>
    <t xml:space="preserve">Proximity sensor M12 PNP</t>
  </si>
  <si>
    <t xml:space="preserve">Date</t>
  </si>
  <si>
    <t xml:space="preserve">Quantity</t>
  </si>
  <si>
    <t xml:space="preserve">Paste usage history here: one row per item per day, or per transaction (quantities are summed). Example dates are set relative to the plan date.</t>
  </si>
  <si>
    <t xml:space="preserve">Due date</t>
  </si>
  <si>
    <t xml:space="preserve">Reference</t>
  </si>
  <si>
    <t xml:space="preserve">Late?</t>
  </si>
  <si>
    <t xml:space="preserve">Paste open purchase, production and transfer orders into columns A–D only. All open supply counts in net flow, whatever its due date.</t>
  </si>
  <si>
    <t xml:space="preserve">PO-4100</t>
  </si>
  <si>
    <t xml:space="preserve">PO-4109</t>
  </si>
  <si>
    <t xml:space="preserve">PO-4118</t>
  </si>
  <si>
    <t xml:space="preserve">PO-4140</t>
  </si>
  <si>
    <t xml:space="preserve">Day total</t>
  </si>
  <si>
    <t xml:space="preserve">Qualifies as</t>
  </si>
  <si>
    <t xml:space="preserve">Qualified qty</t>
  </si>
  <si>
    <t xml:space="preserve">Paste open customer orders into columns A–D only. Only past-due, due-today and spike-day demand is subtracted in net flow; the yellow zone covers the rest.</t>
  </si>
  <si>
    <t xml:space="preserve">SO-7303</t>
  </si>
  <si>
    <t xml:space="preserve">SO-7304</t>
  </si>
  <si>
    <t xml:space="preserve">SO-7321</t>
  </si>
  <si>
    <t xml:space="preserve">SO-7340</t>
  </si>
  <si>
    <t xml:space="preserve">SO-7341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</si>
</sst>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yyyy\-mm\-dd"/>
    <numFmt numFmtId="166" formatCode="General"/>
    <numFmt numFmtId="167" formatCode="0"/>
    <numFmt numFmtId="168" formatCode="0%"/>
    <numFmt numFmtId="169" formatCode="0.0"/>
    <numFmt numFmtId="170" formatCode="#,##0.00"/>
    <numFmt numFmtId="171" formatCode="#,##0.0"/>
    <numFmt numFmtId="172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BE7A1"/>
      </patternFill>
    </fill>
    <fill>
      <patternFill patternType="solid">
        <fgColor rgb="FF3A3A3A"/>
        <bgColor rgb="FF333300"/>
      </patternFill>
    </fill>
    <fill>
      <patternFill patternType="solid">
        <fgColor rgb="FF7F6000"/>
        <bgColor rgb="FF55555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4B6B0"/>
        </patternFill>
      </fill>
    </dxf>
    <dxf>
      <fill>
        <patternFill>
          <bgColor rgb="FFFBE7A1"/>
        </patternFill>
      </fill>
    </dxf>
    <dxf>
      <fill>
        <patternFill>
          <bgColor rgb="FFBFE3C5"/>
        </patternFill>
      </fill>
    </dxf>
    <dxf>
      <fill>
        <patternFill>
          <bgColor rgb="FFC9D9F2"/>
        </patternFill>
      </fill>
    </dxf>
    <dxf>
      <fill>
        <patternFill>
          <bgColor rgb="FFE06666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1F6F43"/>
      <rgbColor rgb="FFD0D0D0"/>
      <rgbColor rgb="FF808080"/>
      <rgbColor rgb="FF9999FF"/>
      <rgbColor rgb="FF993366"/>
      <rgbColor rgb="FFFFF2CC"/>
      <rgbColor rgb="FFCCFFFF"/>
      <rgbColor rgb="FF660066"/>
      <rgbColor rgb="FFE06666"/>
      <rgbColor rgb="FF0563C1"/>
      <rgbColor rgb="FFC9D9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FE3C5"/>
      <rgbColor rgb="FFFBE7A1"/>
      <rgbColor rgb="FF99CCFF"/>
      <rgbColor rgb="FFFF99CC"/>
      <rgbColor rgb="FFCC99FF"/>
      <rgbColor rgb="FFF4B6B0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nventorybuffercalculator.com/" TargetMode="External"/><Relationship Id="rId2" Type="http://schemas.openxmlformats.org/officeDocument/2006/relationships/hyperlink" Target="https://inventorybuffercalculator.com/planner" TargetMode="External"/><Relationship Id="rId3" Type="http://schemas.openxmlformats.org/officeDocument/2006/relationships/hyperlink" Target="https://inventorybuffercalculator.com/guides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6F43"/>
    <pageSetUpPr fitToPage="false"/>
  </sheetPr>
  <dimension ref="A1:D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92"/>
    <col collapsed="false" customWidth="true" hidden="true" outlineLevel="0" max="4" min="4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  <c r="B6" s="6" t="n">
        <f aca="true">TODAY()</f>
        <v>46311</v>
      </c>
      <c r="C6" s="7" t="s">
        <v>5</v>
      </c>
      <c r="D6" s="8" t="n">
        <f aca="false">INT(B6)</f>
        <v>46311</v>
      </c>
    </row>
    <row r="7" customFormat="false" ht="15" hidden="false" customHeight="false" outlineLevel="0" collapsed="false">
      <c r="A7" s="5" t="s">
        <v>6</v>
      </c>
      <c r="B7" s="9" t="n">
        <v>90</v>
      </c>
      <c r="C7" s="7" t="s">
        <v>7</v>
      </c>
      <c r="D7" s="8" t="n">
        <f aca="false">MAX(1,ROUND(N(B7),0))</f>
        <v>90</v>
      </c>
    </row>
    <row r="8" customFormat="false" ht="15" hidden="false" customHeight="false" outlineLevel="0" collapsed="false">
      <c r="A8" s="5" t="s">
        <v>8</v>
      </c>
      <c r="B8" s="10" t="n">
        <v>0.5</v>
      </c>
      <c r="C8" s="7" t="s">
        <v>9</v>
      </c>
      <c r="D8" s="8" t="n">
        <f aca="false">N(B8)</f>
        <v>0.5</v>
      </c>
    </row>
    <row r="9" customFormat="false" ht="15" hidden="false" customHeight="false" outlineLevel="0" collapsed="false">
      <c r="A9" s="5" t="s">
        <v>10</v>
      </c>
      <c r="B9" s="9"/>
      <c r="C9" s="7" t="s">
        <v>11</v>
      </c>
      <c r="D9" s="8" t="str">
        <f aca="false">IF(ISNUMBER(B9),B9,"")</f>
        <v/>
      </c>
    </row>
    <row r="10" customFormat="false" ht="15" hidden="false" customHeight="false" outlineLevel="0" collapsed="false">
      <c r="A10" s="5" t="s">
        <v>12</v>
      </c>
      <c r="B10" s="11" t="s">
        <v>13</v>
      </c>
      <c r="C10" s="7" t="s">
        <v>14</v>
      </c>
      <c r="D10" s="8" t="str">
        <f aca="false">IF(ISNUMBER(MATCH(B10,Profiles!$A$2:$A$100,0)),B10,Profiles!$A$2)</f>
        <v>MM</v>
      </c>
    </row>
    <row r="12" customFormat="false" ht="15" hidden="false" customHeight="false" outlineLevel="0" collapsed="false">
      <c r="A12" s="4" t="s">
        <v>15</v>
      </c>
    </row>
    <row r="13" customFormat="false" ht="15" hidden="false" customHeight="false" outlineLevel="0" collapsed="false">
      <c r="A13" s="8" t="s">
        <v>16</v>
      </c>
      <c r="B13" s="12" t="n">
        <f aca="false">COUNTIF(Buffers!$Z:$Z,"Red")</f>
        <v>3</v>
      </c>
    </row>
    <row r="14" customFormat="false" ht="15" hidden="false" customHeight="false" outlineLevel="0" collapsed="false">
      <c r="A14" s="8" t="s">
        <v>17</v>
      </c>
      <c r="B14" s="12" t="n">
        <f aca="false">COUNTIF(Buffers!$Z:$Z,"Yellow")</f>
        <v>3</v>
      </c>
    </row>
    <row r="15" customFormat="false" ht="15" hidden="false" customHeight="false" outlineLevel="0" collapsed="false">
      <c r="A15" s="8" t="s">
        <v>18</v>
      </c>
      <c r="B15" s="12" t="n">
        <f aca="false">COUNTIF(Buffers!$Z:$Z,"Green")</f>
        <v>3</v>
      </c>
    </row>
    <row r="16" customFormat="false" ht="15" hidden="false" customHeight="false" outlineLevel="0" collapsed="false">
      <c r="A16" s="8" t="s">
        <v>19</v>
      </c>
      <c r="B16" s="12" t="n">
        <f aca="false">COUNTIF(Buffers!$Z:$Z,"Above green")</f>
        <v>2</v>
      </c>
    </row>
    <row r="17" customFormat="false" ht="15" hidden="false" customHeight="false" outlineLevel="0" collapsed="false">
      <c r="A17" s="8" t="s">
        <v>20</v>
      </c>
      <c r="B17" s="12" t="n">
        <f aca="false">COUNT(Buffers!$AB:$AB)</f>
        <v>6</v>
      </c>
    </row>
    <row r="18" customFormat="false" ht="15" hidden="false" customHeight="false" outlineLevel="0" collapsed="false">
      <c r="A18" s="8" t="s">
        <v>21</v>
      </c>
      <c r="B18" s="12" t="n">
        <f aca="false">COUNTIF(Buffers!$AD:$AD,"Stockout")+COUNTIF(Buffers!$AD:$AD,"Critical")</f>
        <v>2</v>
      </c>
    </row>
    <row r="19" customFormat="false" ht="15" hidden="false" customHeight="false" outlineLevel="0" collapsed="false">
      <c r="A19" s="8" t="s">
        <v>22</v>
      </c>
      <c r="B19" s="12" t="n">
        <f aca="false">COUNTIF(Buffers!$L:$L,"Needs*")</f>
        <v>0</v>
      </c>
    </row>
    <row r="20" customFormat="false" ht="15" hidden="false" customHeight="false" outlineLevel="0" collapsed="false">
      <c r="A20" s="8" t="s">
        <v>23</v>
      </c>
      <c r="B20" s="12" t="n">
        <f aca="false">COUNTIF(Buffers!$L:$L,"No recent demand")</f>
        <v>1</v>
      </c>
    </row>
    <row r="22" customFormat="false" ht="15" hidden="false" customHeight="false" outlineLevel="0" collapsed="false">
      <c r="A22" s="4" t="s">
        <v>24</v>
      </c>
    </row>
    <row r="23" customFormat="false" ht="15" hidden="false" customHeight="false" outlineLevel="0" collapsed="false">
      <c r="A23" s="13" t="s">
        <v>25</v>
      </c>
    </row>
    <row r="24" customFormat="false" ht="15" hidden="false" customHeight="false" outlineLevel="0" collapsed="false">
      <c r="A24" s="13" t="s">
        <v>26</v>
      </c>
    </row>
    <row r="25" customFormat="false" ht="15" hidden="false" customHeight="false" outlineLevel="0" collapsed="false">
      <c r="A25" s="13" t="s">
        <v>27</v>
      </c>
    </row>
    <row r="26" customFormat="false" ht="15" hidden="false" customHeight="false" outlineLevel="0" collapsed="false">
      <c r="A26" s="13" t="s">
        <v>28</v>
      </c>
    </row>
    <row r="27" customFormat="false" ht="15" hidden="false" customHeight="false" outlineLevel="0" collapsed="false">
      <c r="A27" s="13" t="s">
        <v>29</v>
      </c>
    </row>
    <row r="28" customFormat="false" ht="15" hidden="false" customHeight="false" outlineLevel="0" collapsed="false">
      <c r="A28" s="13" t="s">
        <v>30</v>
      </c>
    </row>
    <row r="29" customFormat="false" ht="15" hidden="false" customHeight="false" outlineLevel="0" collapsed="false">
      <c r="A29" s="13" t="s">
        <v>31</v>
      </c>
    </row>
    <row r="30" customFormat="false" ht="15" hidden="false" customHeight="false" outlineLevel="0" collapsed="false">
      <c r="A30" s="13" t="s">
        <v>32</v>
      </c>
    </row>
    <row r="32" customFormat="false" ht="15" hidden="false" customHeight="false" outlineLevel="0" collapsed="false">
      <c r="A32" s="4" t="s">
        <v>33</v>
      </c>
    </row>
    <row r="33" customFormat="false" ht="15" hidden="false" customHeight="false" outlineLevel="0" collapsed="false">
      <c r="A33" s="11" t="s">
        <v>34</v>
      </c>
      <c r="B33" s="8" t="s">
        <v>35</v>
      </c>
    </row>
    <row r="34" customFormat="false" ht="15" hidden="false" customHeight="false" outlineLevel="0" collapsed="false">
      <c r="A34" s="8" t="s">
        <v>36</v>
      </c>
      <c r="B34" s="8" t="s">
        <v>37</v>
      </c>
    </row>
    <row r="36" customFormat="false" ht="15" hidden="false" customHeight="false" outlineLevel="0" collapsed="false">
      <c r="A36" s="4" t="s">
        <v>38</v>
      </c>
    </row>
    <row r="37" customFormat="false" ht="15" hidden="false" customHeight="false" outlineLevel="0" collapsed="false">
      <c r="A37" s="5" t="s">
        <v>39</v>
      </c>
      <c r="B37" s="8" t="s">
        <v>40</v>
      </c>
    </row>
    <row r="38" customFormat="false" ht="15" hidden="false" customHeight="false" outlineLevel="0" collapsed="false">
      <c r="A38" s="5" t="s">
        <v>41</v>
      </c>
      <c r="B38" s="8" t="s">
        <v>42</v>
      </c>
    </row>
    <row r="39" customFormat="false" ht="15" hidden="false" customHeight="false" outlineLevel="0" collapsed="false">
      <c r="A39" s="5" t="s">
        <v>43</v>
      </c>
      <c r="B39" s="8" t="s">
        <v>44</v>
      </c>
    </row>
    <row r="40" customFormat="false" ht="15" hidden="false" customHeight="false" outlineLevel="0" collapsed="false">
      <c r="A40" s="5" t="s">
        <v>45</v>
      </c>
      <c r="B40" s="8" t="s">
        <v>46</v>
      </c>
    </row>
    <row r="41" customFormat="false" ht="15" hidden="false" customHeight="false" outlineLevel="0" collapsed="false">
      <c r="A41" s="5" t="s">
        <v>47</v>
      </c>
      <c r="B41" s="8" t="s">
        <v>48</v>
      </c>
    </row>
    <row r="42" customFormat="false" ht="15" hidden="false" customHeight="false" outlineLevel="0" collapsed="false">
      <c r="A42" s="5" t="s">
        <v>49</v>
      </c>
      <c r="B42" s="8" t="s">
        <v>50</v>
      </c>
    </row>
    <row r="43" customFormat="false" ht="15" hidden="false" customHeight="false" outlineLevel="0" collapsed="false">
      <c r="A43" s="5" t="s">
        <v>51</v>
      </c>
      <c r="B43" s="8" t="s">
        <v>52</v>
      </c>
    </row>
    <row r="44" customFormat="false" ht="15" hidden="false" customHeight="false" outlineLevel="0" collapsed="false">
      <c r="A44" s="5" t="s">
        <v>53</v>
      </c>
      <c r="B44" s="8" t="s">
        <v>54</v>
      </c>
    </row>
    <row r="45" customFormat="false" ht="15" hidden="false" customHeight="false" outlineLevel="0" collapsed="false">
      <c r="A45" s="5" t="s">
        <v>55</v>
      </c>
      <c r="B45" s="8" t="s">
        <v>56</v>
      </c>
    </row>
    <row r="46" customFormat="false" ht="15" hidden="false" customHeight="false" outlineLevel="0" collapsed="false">
      <c r="A46" s="5" t="s">
        <v>57</v>
      </c>
      <c r="B46" s="8" t="s">
        <v>58</v>
      </c>
    </row>
    <row r="48" customFormat="false" ht="15" hidden="false" customHeight="false" outlineLevel="0" collapsed="false">
      <c r="A48" s="4" t="s">
        <v>59</v>
      </c>
    </row>
    <row r="49" customFormat="false" ht="15" hidden="false" customHeight="false" outlineLevel="0" collapsed="false">
      <c r="A49" s="8" t="s">
        <v>60</v>
      </c>
    </row>
    <row r="50" customFormat="false" ht="15" hidden="false" customHeight="false" outlineLevel="0" collapsed="false">
      <c r="A50" s="8" t="s">
        <v>61</v>
      </c>
    </row>
    <row r="51" customFormat="false" ht="15" hidden="false" customHeight="false" outlineLevel="0" collapsed="false">
      <c r="A51" s="8" t="s">
        <v>62</v>
      </c>
    </row>
    <row r="53" customFormat="false" ht="15" hidden="false" customHeight="false" outlineLevel="0" collapsed="false">
      <c r="A53" s="2" t="s">
        <v>63</v>
      </c>
    </row>
    <row r="54" customFormat="false" ht="15" hidden="false" customHeight="false" outlineLevel="0" collapsed="false">
      <c r="A54" s="2" t="s">
        <v>64</v>
      </c>
    </row>
  </sheetData>
  <hyperlinks>
    <hyperlink ref="A2" r:id="rId1" display="Free from inventorybuffercalculator.com · version 1.0, October 2026"/>
    <hyperlink ref="A53" r:id="rId2" display="Prefer importing ERP CSV exports? The free planner does this in your browser: https://inventorybuffercalculator.com/planner"/>
    <hyperlink ref="A54" r:id="rId3" display="Worked examples of every formula: https://inventorybuffercalculator.com/guid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6000"/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2"/>
    <col collapsed="false" customWidth="true" hidden="false" outlineLevel="0" max="5" min="4" style="0" width="16"/>
  </cols>
  <sheetData>
    <row r="1" customFormat="false" ht="15" hidden="false" customHeight="false" outlineLevel="0" collapsed="false">
      <c r="A1" s="14" t="s">
        <v>65</v>
      </c>
      <c r="B1" s="14" t="s">
        <v>66</v>
      </c>
      <c r="C1" s="14" t="s">
        <v>67</v>
      </c>
      <c r="D1" s="15" t="s">
        <v>68</v>
      </c>
      <c r="E1" s="15" t="s">
        <v>69</v>
      </c>
    </row>
    <row r="2" customFormat="false" ht="15" hidden="false" customHeight="false" outlineLevel="0" collapsed="false">
      <c r="A2" s="5" t="s">
        <v>70</v>
      </c>
      <c r="B2" s="8" t="s">
        <v>71</v>
      </c>
      <c r="C2" s="8" t="s">
        <v>72</v>
      </c>
      <c r="D2" s="10" t="n">
        <v>0.7</v>
      </c>
      <c r="E2" s="10" t="n">
        <v>0.25</v>
      </c>
    </row>
    <row r="3" customFormat="false" ht="15" hidden="false" customHeight="false" outlineLevel="0" collapsed="false">
      <c r="A3" s="5" t="s">
        <v>73</v>
      </c>
      <c r="B3" s="8" t="s">
        <v>71</v>
      </c>
      <c r="C3" s="8" t="s">
        <v>74</v>
      </c>
      <c r="D3" s="10" t="n">
        <v>0.7</v>
      </c>
      <c r="E3" s="10" t="n">
        <v>0.5</v>
      </c>
    </row>
    <row r="4" customFormat="false" ht="15" hidden="false" customHeight="false" outlineLevel="0" collapsed="false">
      <c r="A4" s="5" t="s">
        <v>75</v>
      </c>
      <c r="B4" s="8" t="s">
        <v>71</v>
      </c>
      <c r="C4" s="8" t="s">
        <v>76</v>
      </c>
      <c r="D4" s="10" t="n">
        <v>0.7</v>
      </c>
      <c r="E4" s="10" t="n">
        <v>0.8</v>
      </c>
    </row>
    <row r="5" customFormat="false" ht="15" hidden="false" customHeight="false" outlineLevel="0" collapsed="false">
      <c r="A5" s="5" t="s">
        <v>77</v>
      </c>
      <c r="B5" s="8" t="s">
        <v>74</v>
      </c>
      <c r="C5" s="8" t="s">
        <v>72</v>
      </c>
      <c r="D5" s="10" t="n">
        <v>0.5</v>
      </c>
      <c r="E5" s="10" t="n">
        <v>0.25</v>
      </c>
    </row>
    <row r="6" customFormat="false" ht="15" hidden="false" customHeight="false" outlineLevel="0" collapsed="false">
      <c r="A6" s="5" t="s">
        <v>13</v>
      </c>
      <c r="B6" s="8" t="s">
        <v>74</v>
      </c>
      <c r="C6" s="8" t="s">
        <v>74</v>
      </c>
      <c r="D6" s="10" t="n">
        <v>0.5</v>
      </c>
      <c r="E6" s="10" t="n">
        <v>0.5</v>
      </c>
    </row>
    <row r="7" customFormat="false" ht="15" hidden="false" customHeight="false" outlineLevel="0" collapsed="false">
      <c r="A7" s="5" t="s">
        <v>78</v>
      </c>
      <c r="B7" s="8" t="s">
        <v>74</v>
      </c>
      <c r="C7" s="8" t="s">
        <v>76</v>
      </c>
      <c r="D7" s="10" t="n">
        <v>0.5</v>
      </c>
      <c r="E7" s="10" t="n">
        <v>0.8</v>
      </c>
    </row>
    <row r="8" customFormat="false" ht="15" hidden="false" customHeight="false" outlineLevel="0" collapsed="false">
      <c r="A8" s="5" t="s">
        <v>79</v>
      </c>
      <c r="B8" s="8" t="s">
        <v>80</v>
      </c>
      <c r="C8" s="8" t="s">
        <v>72</v>
      </c>
      <c r="D8" s="10" t="n">
        <v>0.3</v>
      </c>
      <c r="E8" s="10" t="n">
        <v>0.25</v>
      </c>
    </row>
    <row r="9" customFormat="false" ht="15" hidden="false" customHeight="false" outlineLevel="0" collapsed="false">
      <c r="A9" s="5" t="s">
        <v>81</v>
      </c>
      <c r="B9" s="8" t="s">
        <v>80</v>
      </c>
      <c r="C9" s="8" t="s">
        <v>74</v>
      </c>
      <c r="D9" s="10" t="n">
        <v>0.3</v>
      </c>
      <c r="E9" s="10" t="n">
        <v>0.5</v>
      </c>
    </row>
    <row r="10" customFormat="false" ht="15" hidden="false" customHeight="false" outlineLevel="0" collapsed="false">
      <c r="A10" s="5" t="s">
        <v>82</v>
      </c>
      <c r="B10" s="8" t="s">
        <v>80</v>
      </c>
      <c r="C10" s="8" t="s">
        <v>76</v>
      </c>
      <c r="D10" s="10" t="n">
        <v>0.3</v>
      </c>
      <c r="E10" s="10" t="n">
        <v>0.8</v>
      </c>
    </row>
    <row r="12" customFormat="false" ht="15" hidden="false" customHeight="false" outlineLevel="0" collapsed="false">
      <c r="A12" s="3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AF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7" min="3" style="0" width="9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1" min="10" style="0" width="10"/>
    <col collapsed="false" customWidth="true" hidden="false" outlineLevel="0" max="12" min="12" style="0" width="16"/>
    <col collapsed="false" customWidth="true" hidden="false" outlineLevel="0" max="15" min="13" style="0" width="8"/>
    <col collapsed="false" customWidth="true" hidden="false" outlineLevel="0" max="22" min="16" style="0" width="10"/>
    <col collapsed="false" customWidth="true" hidden="false" outlineLevel="0" max="23" min="23" style="0" width="9"/>
    <col collapsed="false" customWidth="true" hidden="false" outlineLevel="0" max="24" min="24" style="0" width="10"/>
    <col collapsed="false" customWidth="true" hidden="false" outlineLevel="0" max="26" min="25" style="0" width="11"/>
    <col collapsed="false" customWidth="true" hidden="false" outlineLevel="0" max="27" min="27" style="0" width="9"/>
    <col collapsed="false" customWidth="true" hidden="false" outlineLevel="0" max="28" min="28" style="0" width="10"/>
    <col collapsed="false" customWidth="true" hidden="false" outlineLevel="0" max="29" min="29" style="0" width="11"/>
    <col collapsed="false" customWidth="true" hidden="false" outlineLevel="0" max="30" min="30" style="0" width="16"/>
    <col collapsed="false" customWidth="true" hidden="true" outlineLevel="0" max="32" min="31" style="0" width="12"/>
  </cols>
  <sheetData>
    <row r="1" customFormat="false" ht="42" hidden="false" customHeight="true" outlineLevel="0" collapsed="false">
      <c r="A1" s="15" t="s">
        <v>84</v>
      </c>
      <c r="B1" s="15" t="s">
        <v>85</v>
      </c>
      <c r="C1" s="15" t="s">
        <v>86</v>
      </c>
      <c r="D1" s="15" t="s">
        <v>87</v>
      </c>
      <c r="E1" s="15" t="s">
        <v>88</v>
      </c>
      <c r="F1" s="15" t="s">
        <v>89</v>
      </c>
      <c r="G1" s="15" t="s">
        <v>90</v>
      </c>
      <c r="H1" s="15" t="s">
        <v>91</v>
      </c>
      <c r="I1" s="15" t="s">
        <v>92</v>
      </c>
      <c r="J1" s="14" t="s">
        <v>39</v>
      </c>
      <c r="K1" s="14" t="s">
        <v>93</v>
      </c>
      <c r="L1" s="14" t="s">
        <v>94</v>
      </c>
      <c r="M1" s="14" t="s">
        <v>95</v>
      </c>
      <c r="N1" s="14" t="s">
        <v>68</v>
      </c>
      <c r="O1" s="14" t="s">
        <v>69</v>
      </c>
      <c r="P1" s="14" t="s">
        <v>41</v>
      </c>
      <c r="Q1" s="14" t="s">
        <v>43</v>
      </c>
      <c r="R1" s="14" t="s">
        <v>45</v>
      </c>
      <c r="S1" s="14" t="s">
        <v>96</v>
      </c>
      <c r="T1" s="14" t="s">
        <v>97</v>
      </c>
      <c r="U1" s="14" t="s">
        <v>98</v>
      </c>
      <c r="V1" s="14" t="s">
        <v>99</v>
      </c>
      <c r="W1" s="14" t="s">
        <v>100</v>
      </c>
      <c r="X1" s="14" t="s">
        <v>49</v>
      </c>
      <c r="Y1" s="14" t="s">
        <v>51</v>
      </c>
      <c r="Z1" s="14" t="s">
        <v>101</v>
      </c>
      <c r="AA1" s="14" t="s">
        <v>55</v>
      </c>
      <c r="AB1" s="14" t="s">
        <v>102</v>
      </c>
      <c r="AC1" s="14" t="s">
        <v>103</v>
      </c>
      <c r="AD1" s="14" t="s">
        <v>57</v>
      </c>
      <c r="AE1" s="14" t="s">
        <v>104</v>
      </c>
      <c r="AF1" s="14" t="s">
        <v>105</v>
      </c>
    </row>
    <row r="2" customFormat="false" ht="15" hidden="false" customHeight="false" outlineLevel="0" collapsed="false">
      <c r="A2" s="11" t="s">
        <v>106</v>
      </c>
      <c r="B2" s="11" t="s">
        <v>107</v>
      </c>
      <c r="C2" s="11" t="s">
        <v>13</v>
      </c>
      <c r="D2" s="16" t="n">
        <v>21</v>
      </c>
      <c r="E2" s="11" t="n">
        <v>500</v>
      </c>
      <c r="F2" s="11" t="n">
        <v>50</v>
      </c>
      <c r="G2" s="9" t="n">
        <v>14</v>
      </c>
      <c r="H2" s="11" t="n">
        <v>371</v>
      </c>
      <c r="I2" s="17"/>
      <c r="J2" s="18" t="n">
        <f aca="false">IF($A2="","",IF(COUNT(Usage!$C:$C)=0,"",MAX(0,SUMIFS(Usage!$C:$C,Usage!$A:$A,$AF2,Usage!$B:$B,"&gt;="&amp;(PlanDate-AduWindow),Usage!$B:$B,"&lt;"&amp;PlanDate))/AduWindow))</f>
        <v>36.6777777777778</v>
      </c>
      <c r="K2" s="18" t="n">
        <f aca="false">IF($A2="","",IF(AND(ISNUMBER($I2),N($I2)&gt;=0),$I2,$J2))</f>
        <v>36.6777777777778</v>
      </c>
      <c r="L2" s="19" t="str">
        <f aca="false">IF($A2="","",IF($K2="","Needs ADU",IF($K2&lt;=0,"No recent demand",IF(N($D2)&lt;=0,"Needs lead time","Planned"))))</f>
        <v>Planned</v>
      </c>
      <c r="M2" s="8" t="str">
        <f aca="false">IF($A2="","",IF(ISNUMBER(MATCH($C2,Profiles!$A$2:$A$100,0)),$C2,DefaultProfile))</f>
        <v>MM</v>
      </c>
      <c r="N2" s="20" t="n">
        <f aca="false">IF($A2="","",INDEX(Profiles!$D$2:$D$100,MATCH($M2,Profiles!$A$2:$A$100,0)))</f>
        <v>0.5</v>
      </c>
      <c r="O2" s="20" t="n">
        <f aca="false">IF($A2="","",INDEX(Profiles!$E$2:$E$100,MATCH($M2,Profiles!$A$2:$A$100,0)))</f>
        <v>0.5</v>
      </c>
      <c r="P2" s="21" t="n">
        <f aca="false">IF($L2&lt;&gt;"Planned","",$K2*$D2*$N2*(1+$O2))</f>
        <v>577.675</v>
      </c>
      <c r="Q2" s="21" t="n">
        <f aca="false">IF($L2&lt;&gt;"Planned","",$K2*$D2)</f>
        <v>770.233333333333</v>
      </c>
      <c r="R2" s="21" t="n">
        <f aca="false">IF($L2&lt;&gt;"Planned","",MAX(N($E2),$K2*$D2*$N2,$K2*N($G2)))</f>
        <v>513.488888888889</v>
      </c>
      <c r="S2" s="21" t="n">
        <f aca="false">IF($L2&lt;&gt;"Planned","",$P2)</f>
        <v>577.675</v>
      </c>
      <c r="T2" s="21" t="n">
        <f aca="false">IF($L2&lt;&gt;"Planned","",$P2+$Q2)</f>
        <v>1347.90833333333</v>
      </c>
      <c r="U2" s="21" t="n">
        <f aca="false">IF($L2&lt;&gt;"Planned","",$T2+$R2)</f>
        <v>1861.39722222222</v>
      </c>
      <c r="V2" s="8" t="n">
        <f aca="false">IF($A2="","",SUMIFS('Open supply'!$C:$C,'Open supply'!$A:$A,$AF2))</f>
        <v>150</v>
      </c>
      <c r="W2" s="8" t="n">
        <f aca="false">IF($A2="","",SUMIFS('Open supply'!$C:$C,'Open supply'!$A:$A,$AF2,'Open supply'!$B:$B,"&lt;"&amp;PlanDate))</f>
        <v>0</v>
      </c>
      <c r="X2" s="8" t="n">
        <f aca="false">IF($A2="","",SUMIFS('Open demand'!$G:$G,'Open demand'!$A:$A,$AF2))</f>
        <v>0</v>
      </c>
      <c r="Y2" s="8" t="n">
        <f aca="false">IF($L2&lt;&gt;"Planned","",N($H2)+$V2-$X2)</f>
        <v>521</v>
      </c>
      <c r="Z2" s="19" t="str">
        <f aca="false">IF($L2&lt;&gt;"Planned","",IF($Y2&lt;=$S2,"Red",IF($Y2&lt;=$T2,"Yellow",IF($Y2&lt;=$U2,"Green","Above green"))))</f>
        <v>Red</v>
      </c>
      <c r="AA2" s="22" t="n">
        <f aca="false">IF(OR($L2&lt;&gt;"Planned",N($U2)&lt;=0),"",$Y2/$U2)</f>
        <v>0.279897269524237</v>
      </c>
      <c r="AB2" s="8" t="n">
        <f aca="false">IF($L2&lt;&gt;"Planned","",IF($Y2&lt;=$T2,ROUNDUP(MAX($U2-$Y2,N($E2))/IF(N($F2)&gt;0,$F2,1)-0.000000001,0)*IF(N($F2)&gt;0,$F2,1),""))</f>
        <v>1350</v>
      </c>
      <c r="AC2" s="23" t="n">
        <f aca="false">IF(N($AB2)&gt;0,PlanDate+ROUNDUP($D2,0),"")</f>
        <v>46332</v>
      </c>
      <c r="AD2" s="19" t="str">
        <f aca="false">IF($L2&lt;&gt;"Planned","",IF(N($H2)&lt;=0,"Stockout",IF(N($H2)&lt;$S2*0.5,"Critical",IF(N($H2)&lt;=$S2,"Low",IF(N($H2)&gt;$U2,"Over top of green","OK")))))</f>
        <v>Low</v>
      </c>
      <c r="AE2" s="8" t="str">
        <f aca="false">IF($A2="","",$A2&amp;"")</f>
        <v>BRG-6204</v>
      </c>
      <c r="AF2" s="8" t="str">
        <f aca="false">IF($A2="","",SUBSTITUTE(SUBSTITUTE(SUBSTITUTE($A2&amp;"","~","~~"),"*","~*"),"?","~?"))</f>
        <v>BRG-6204</v>
      </c>
    </row>
    <row r="3" customFormat="false" ht="15" hidden="false" customHeight="false" outlineLevel="0" collapsed="false">
      <c r="A3" s="11" t="s">
        <v>108</v>
      </c>
      <c r="B3" s="11" t="s">
        <v>109</v>
      </c>
      <c r="C3" s="11" t="s">
        <v>13</v>
      </c>
      <c r="D3" s="16" t="n">
        <v>15</v>
      </c>
      <c r="E3" s="11" t="n">
        <v>100</v>
      </c>
      <c r="F3" s="11"/>
      <c r="G3" s="9" t="n">
        <v>10</v>
      </c>
      <c r="H3" s="11" t="n">
        <v>235</v>
      </c>
      <c r="I3" s="17"/>
      <c r="J3" s="18" t="n">
        <f aca="false">IF($A3="","",IF(COUNT(Usage!$C:$C)=0,"",MAX(0,SUMIFS(Usage!$C:$C,Usage!$A:$A,$AF3,Usage!$B:$B,"&gt;="&amp;(PlanDate-AduWindow),Usage!$B:$B,"&lt;"&amp;PlanDate))/AduWindow))</f>
        <v>12.1888888888889</v>
      </c>
      <c r="K3" s="18" t="n">
        <f aca="false">IF($A3="","",IF(AND(ISNUMBER($I3),N($I3)&gt;=0),$I3,$J3))</f>
        <v>12.1888888888889</v>
      </c>
      <c r="L3" s="19" t="str">
        <f aca="false">IF($A3="","",IF($K3="","Needs ADU",IF($K3&lt;=0,"No recent demand",IF(N($D3)&lt;=0,"Needs lead time","Planned"))))</f>
        <v>Planned</v>
      </c>
      <c r="M3" s="8" t="str">
        <f aca="false">IF($A3="","",IF(ISNUMBER(MATCH($C3,Profiles!$A$2:$A$100,0)),$C3,DefaultProfile))</f>
        <v>MM</v>
      </c>
      <c r="N3" s="20" t="n">
        <f aca="false">IF($A3="","",INDEX(Profiles!$D$2:$D$100,MATCH($M3,Profiles!$A$2:$A$100,0)))</f>
        <v>0.5</v>
      </c>
      <c r="O3" s="20" t="n">
        <f aca="false">IF($A3="","",INDEX(Profiles!$E$2:$E$100,MATCH($M3,Profiles!$A$2:$A$100,0)))</f>
        <v>0.5</v>
      </c>
      <c r="P3" s="21" t="n">
        <f aca="false">IF($L3&lt;&gt;"Planned","",$K3*$D3*$N3*(1+$O3))</f>
        <v>137.125</v>
      </c>
      <c r="Q3" s="21" t="n">
        <f aca="false">IF($L3&lt;&gt;"Planned","",$K3*$D3)</f>
        <v>182.833333333333</v>
      </c>
      <c r="R3" s="21" t="n">
        <f aca="false">IF($L3&lt;&gt;"Planned","",MAX(N($E3),$K3*$D3*$N3,$K3*N($G3)))</f>
        <v>121.888888888889</v>
      </c>
      <c r="S3" s="21" t="n">
        <f aca="false">IF($L3&lt;&gt;"Planned","",$P3)</f>
        <v>137.125</v>
      </c>
      <c r="T3" s="21" t="n">
        <f aca="false">IF($L3&lt;&gt;"Planned","",$P3+$Q3)</f>
        <v>319.958333333333</v>
      </c>
      <c r="U3" s="21" t="n">
        <f aca="false">IF($L3&lt;&gt;"Planned","",$T3+$R3)</f>
        <v>441.847222222222</v>
      </c>
      <c r="V3" s="8" t="n">
        <f aca="false">IF($A3="","",SUMIFS('Open supply'!$C:$C,'Open supply'!$A:$A,$AF3))</f>
        <v>0</v>
      </c>
      <c r="W3" s="8" t="n">
        <f aca="false">IF($A3="","",SUMIFS('Open supply'!$C:$C,'Open supply'!$A:$A,$AF3,'Open supply'!$B:$B,"&lt;"&amp;PlanDate))</f>
        <v>0</v>
      </c>
      <c r="X3" s="8" t="n">
        <f aca="false">IF($A3="","",SUMIFS('Open demand'!$G:$G,'Open demand'!$A:$A,$AF3))</f>
        <v>14</v>
      </c>
      <c r="Y3" s="8" t="n">
        <f aca="false">IF($L3&lt;&gt;"Planned","",N($H3)+$V3-$X3)</f>
        <v>221</v>
      </c>
      <c r="Z3" s="19" t="str">
        <f aca="false">IF($L3&lt;&gt;"Planned","",IF($Y3&lt;=$S3,"Red",IF($Y3&lt;=$T3,"Yellow",IF($Y3&lt;=$U3,"Green","Above green"))))</f>
        <v>Yellow</v>
      </c>
      <c r="AA3" s="22" t="n">
        <f aca="false">IF(OR($L3&lt;&gt;"Planned",N($U3)&lt;=0),"",$Y3/$U3)</f>
        <v>0.500172885298463</v>
      </c>
      <c r="AB3" s="8" t="n">
        <f aca="false">IF($L3&lt;&gt;"Planned","",IF($Y3&lt;=$T3,ROUNDUP(MAX($U3-$Y3,N($E3))/IF(N($F3)&gt;0,$F3,1)-0.000000001,0)*IF(N($F3)&gt;0,$F3,1),""))</f>
        <v>221</v>
      </c>
      <c r="AC3" s="23" t="n">
        <f aca="false">IF(N($AB3)&gt;0,PlanDate+ROUNDUP($D3,0),"")</f>
        <v>46326</v>
      </c>
      <c r="AD3" s="19" t="str">
        <f aca="false">IF($L3&lt;&gt;"Planned","",IF(N($H3)&lt;=0,"Stockout",IF(N($H3)&lt;$S3*0.5,"Critical",IF(N($H3)&lt;=$S3,"Low",IF(N($H3)&gt;$U3,"Over top of green","OK")))))</f>
        <v>OK</v>
      </c>
      <c r="AE3" s="8" t="str">
        <f aca="false">IF($A3="","",$A3&amp;"")</f>
        <v>SEAL-KIT-220</v>
      </c>
      <c r="AF3" s="8" t="str">
        <f aca="false">IF($A3="","",SUBSTITUTE(SUBSTITUTE(SUBSTITUTE($A3&amp;"","~","~~"),"*","~*"),"?","~?"))</f>
        <v>SEAL-KIT-220</v>
      </c>
    </row>
    <row r="4" customFormat="false" ht="15" hidden="false" customHeight="false" outlineLevel="0" collapsed="false">
      <c r="A4" s="11" t="s">
        <v>110</v>
      </c>
      <c r="B4" s="11" t="s">
        <v>111</v>
      </c>
      <c r="C4" s="11" t="s">
        <v>81</v>
      </c>
      <c r="D4" s="16" t="n">
        <v>35</v>
      </c>
      <c r="E4" s="11" t="n">
        <v>48</v>
      </c>
      <c r="F4" s="11" t="n">
        <v>12</v>
      </c>
      <c r="G4" s="9" t="n">
        <v>30</v>
      </c>
      <c r="H4" s="11" t="n">
        <v>269</v>
      </c>
      <c r="I4" s="17"/>
      <c r="J4" s="18" t="n">
        <f aca="false">IF($A4="","",IF(COUNT(Usage!$C:$C)=0,"",MAX(0,SUMIFS(Usage!$C:$C,Usage!$A:$A,$AF4,Usage!$B:$B,"&gt;="&amp;(PlanDate-AduWindow),Usage!$B:$B,"&lt;"&amp;PlanDate))/AduWindow))</f>
        <v>5.37777777777778</v>
      </c>
      <c r="K4" s="18" t="n">
        <f aca="false">IF($A4="","",IF(AND(ISNUMBER($I4),N($I4)&gt;=0),$I4,$J4))</f>
        <v>5.37777777777778</v>
      </c>
      <c r="L4" s="19" t="str">
        <f aca="false">IF($A4="","",IF($K4="","Needs ADU",IF($K4&lt;=0,"No recent demand",IF(N($D4)&lt;=0,"Needs lead time","Planned"))))</f>
        <v>Planned</v>
      </c>
      <c r="M4" s="8" t="str">
        <f aca="false">IF($A4="","",IF(ISNUMBER(MATCH($C4,Profiles!$A$2:$A$100,0)),$C4,DefaultProfile))</f>
        <v>LM</v>
      </c>
      <c r="N4" s="20" t="n">
        <f aca="false">IF($A4="","",INDEX(Profiles!$D$2:$D$100,MATCH($M4,Profiles!$A$2:$A$100,0)))</f>
        <v>0.3</v>
      </c>
      <c r="O4" s="20" t="n">
        <f aca="false">IF($A4="","",INDEX(Profiles!$E$2:$E$100,MATCH($M4,Profiles!$A$2:$A$100,0)))</f>
        <v>0.5</v>
      </c>
      <c r="P4" s="21" t="n">
        <f aca="false">IF($L4&lt;&gt;"Planned","",$K4*$D4*$N4*(1+$O4))</f>
        <v>84.7</v>
      </c>
      <c r="Q4" s="21" t="n">
        <f aca="false">IF($L4&lt;&gt;"Planned","",$K4*$D4)</f>
        <v>188.222222222222</v>
      </c>
      <c r="R4" s="21" t="n">
        <f aca="false">IF($L4&lt;&gt;"Planned","",MAX(N($E4),$K4*$D4*$N4,$K4*N($G4)))</f>
        <v>161.333333333333</v>
      </c>
      <c r="S4" s="21" t="n">
        <f aca="false">IF($L4&lt;&gt;"Planned","",$P4)</f>
        <v>84.7</v>
      </c>
      <c r="T4" s="21" t="n">
        <f aca="false">IF($L4&lt;&gt;"Planned","",$P4+$Q4)</f>
        <v>272.922222222222</v>
      </c>
      <c r="U4" s="21" t="n">
        <f aca="false">IF($L4&lt;&gt;"Planned","",$T4+$R4)</f>
        <v>434.255555555556</v>
      </c>
      <c r="V4" s="8" t="n">
        <f aca="false">IF($A4="","",SUMIFS('Open supply'!$C:$C,'Open supply'!$A:$A,$AF4))</f>
        <v>48</v>
      </c>
      <c r="W4" s="8" t="n">
        <f aca="false">IF($A4="","",SUMIFS('Open supply'!$C:$C,'Open supply'!$A:$A,$AF4,'Open supply'!$B:$B,"&lt;"&amp;PlanDate))</f>
        <v>48</v>
      </c>
      <c r="X4" s="8" t="n">
        <f aca="false">IF($A4="","",SUMIFS('Open demand'!$G:$G,'Open demand'!$A:$A,$AF4))</f>
        <v>0</v>
      </c>
      <c r="Y4" s="8" t="n">
        <f aca="false">IF($L4&lt;&gt;"Planned","",N($H4)+$V4-$X4)</f>
        <v>317</v>
      </c>
      <c r="Z4" s="19" t="str">
        <f aca="false">IF($L4&lt;&gt;"Planned","",IF($Y4&lt;=$S4,"Red",IF($Y4&lt;=$T4,"Yellow",IF($Y4&lt;=$U4,"Green","Above green"))))</f>
        <v>Green</v>
      </c>
      <c r="AA4" s="22" t="n">
        <f aca="false">IF(OR($L4&lt;&gt;"Planned",N($U4)&lt;=0),"",$Y4/$U4)</f>
        <v>0.729984903922421</v>
      </c>
      <c r="AB4" s="8" t="str">
        <f aca="false">IF($L4&lt;&gt;"Planned","",IF($Y4&lt;=$T4,ROUNDUP(MAX($U4-$Y4,N($E4))/IF(N($F4)&gt;0,$F4,1)-0.000000001,0)*IF(N($F4)&gt;0,$F4,1),""))</f>
        <v/>
      </c>
      <c r="AC4" s="23" t="str">
        <f aca="false">IF(N($AB4)&gt;0,PlanDate+ROUNDUP($D4,0),"")</f>
        <v/>
      </c>
      <c r="AD4" s="19" t="str">
        <f aca="false">IF($L4&lt;&gt;"Planned","",IF(N($H4)&lt;=0,"Stockout",IF(N($H4)&lt;$S4*0.5,"Critical",IF(N($H4)&lt;=$S4,"Low",IF(N($H4)&gt;$U4,"Over top of green","OK")))))</f>
        <v>OK</v>
      </c>
      <c r="AE4" s="8" t="str">
        <f aca="false">IF($A4="","",$A4&amp;"")</f>
        <v>FLT-HYD-10</v>
      </c>
      <c r="AF4" s="8" t="str">
        <f aca="false">IF($A4="","",SUBSTITUTE(SUBSTITUTE(SUBSTITUTE($A4&amp;"","~","~~"),"*","~*"),"?","~?"))</f>
        <v>FLT-HYD-10</v>
      </c>
    </row>
    <row r="5" customFormat="false" ht="15" hidden="false" customHeight="false" outlineLevel="0" collapsed="false">
      <c r="A5" s="11" t="s">
        <v>112</v>
      </c>
      <c r="B5" s="11" t="s">
        <v>113</v>
      </c>
      <c r="C5" s="11" t="s">
        <v>82</v>
      </c>
      <c r="D5" s="16" t="n">
        <v>56</v>
      </c>
      <c r="E5" s="11" t="n">
        <v>1</v>
      </c>
      <c r="F5" s="11"/>
      <c r="G5" s="9" t="n">
        <v>30</v>
      </c>
      <c r="H5" s="11" t="n">
        <v>10</v>
      </c>
      <c r="I5" s="17"/>
      <c r="J5" s="18" t="n">
        <f aca="false">IF($A5="","",IF(COUNT(Usage!$C:$C)=0,"",MAX(0,SUMIFS(Usage!$C:$C,Usage!$A:$A,$AF5,Usage!$B:$B,"&gt;="&amp;(PlanDate-AduWindow),Usage!$B:$B,"&lt;"&amp;PlanDate))/AduWindow))</f>
        <v>0.822222222222222</v>
      </c>
      <c r="K5" s="18" t="n">
        <f aca="false">IF($A5="","",IF(AND(ISNUMBER($I5),N($I5)&gt;=0),$I5,$J5))</f>
        <v>0.822222222222222</v>
      </c>
      <c r="L5" s="19" t="str">
        <f aca="false">IF($A5="","",IF($K5="","Needs ADU",IF($K5&lt;=0,"No recent demand",IF(N($D5)&lt;=0,"Needs lead time","Planned"))))</f>
        <v>Planned</v>
      </c>
      <c r="M5" s="8" t="str">
        <f aca="false">IF($A5="","",IF(ISNUMBER(MATCH($C5,Profiles!$A$2:$A$100,0)),$C5,DefaultProfile))</f>
        <v>LH</v>
      </c>
      <c r="N5" s="20" t="n">
        <f aca="false">IF($A5="","",INDEX(Profiles!$D$2:$D$100,MATCH($M5,Profiles!$A$2:$A$100,0)))</f>
        <v>0.3</v>
      </c>
      <c r="O5" s="20" t="n">
        <f aca="false">IF($A5="","",INDEX(Profiles!$E$2:$E$100,MATCH($M5,Profiles!$A$2:$A$100,0)))</f>
        <v>0.8</v>
      </c>
      <c r="P5" s="21" t="n">
        <f aca="false">IF($L5&lt;&gt;"Planned","",$K5*$D5*$N5*(1+$O5))</f>
        <v>24.864</v>
      </c>
      <c r="Q5" s="21" t="n">
        <f aca="false">IF($L5&lt;&gt;"Planned","",$K5*$D5)</f>
        <v>46.0444444444444</v>
      </c>
      <c r="R5" s="21" t="n">
        <f aca="false">IF($L5&lt;&gt;"Planned","",MAX(N($E5),$K5*$D5*$N5,$K5*N($G5)))</f>
        <v>24.6666666666667</v>
      </c>
      <c r="S5" s="21" t="n">
        <f aca="false">IF($L5&lt;&gt;"Planned","",$P5)</f>
        <v>24.864</v>
      </c>
      <c r="T5" s="21" t="n">
        <f aca="false">IF($L5&lt;&gt;"Planned","",$P5+$Q5)</f>
        <v>70.9084444444444</v>
      </c>
      <c r="U5" s="21" t="n">
        <f aca="false">IF($L5&lt;&gt;"Planned","",$T5+$R5)</f>
        <v>95.5751111111111</v>
      </c>
      <c r="V5" s="8" t="n">
        <f aca="false">IF($A5="","",SUMIFS('Open supply'!$C:$C,'Open supply'!$A:$A,$AF5))</f>
        <v>4</v>
      </c>
      <c r="W5" s="8" t="n">
        <f aca="false">IF($A5="","",SUMIFS('Open supply'!$C:$C,'Open supply'!$A:$A,$AF5,'Open supply'!$B:$B,"&lt;"&amp;PlanDate))</f>
        <v>0</v>
      </c>
      <c r="X5" s="8" t="n">
        <f aca="false">IF($A5="","",SUMIFS('Open demand'!$G:$G,'Open demand'!$A:$A,$AF5))</f>
        <v>0</v>
      </c>
      <c r="Y5" s="8" t="n">
        <f aca="false">IF($L5&lt;&gt;"Planned","",N($H5)+$V5-$X5)</f>
        <v>14</v>
      </c>
      <c r="Z5" s="19" t="str">
        <f aca="false">IF($L5&lt;&gt;"Planned","",IF($Y5&lt;=$S5,"Red",IF($Y5&lt;=$T5,"Yellow",IF($Y5&lt;=$U5,"Green","Above green"))))</f>
        <v>Red</v>
      </c>
      <c r="AA5" s="22" t="n">
        <f aca="false">IF(OR($L5&lt;&gt;"Planned",N($U5)&lt;=0),"",$Y5/$U5)</f>
        <v>0.146481650266922</v>
      </c>
      <c r="AB5" s="8" t="n">
        <f aca="false">IF($L5&lt;&gt;"Planned","",IF($Y5&lt;=$T5,ROUNDUP(MAX($U5-$Y5,N($E5))/IF(N($F5)&gt;0,$F5,1)-0.000000001,0)*IF(N($F5)&gt;0,$F5,1),""))</f>
        <v>82</v>
      </c>
      <c r="AC5" s="23" t="n">
        <f aca="false">IF(N($AB5)&gt;0,PlanDate+ROUNDUP($D5,0),"")</f>
        <v>46367</v>
      </c>
      <c r="AD5" s="19" t="str">
        <f aca="false">IF($L5&lt;&gt;"Planned","",IF(N($H5)&lt;=0,"Stockout",IF(N($H5)&lt;$S5*0.5,"Critical",IF(N($H5)&lt;=$S5,"Low",IF(N($H5)&gt;$U5,"Over top of green","OK")))))</f>
        <v>Critical</v>
      </c>
      <c r="AE5" s="8" t="str">
        <f aca="false">IF($A5="","",$A5&amp;"")</f>
        <v>MTR-1HP-TEFC</v>
      </c>
      <c r="AF5" s="8" t="str">
        <f aca="false">IF($A5="","",SUBSTITUTE(SUBSTITUTE(SUBSTITUTE($A5&amp;"","~","~~"),"*","~*"),"?","~?"))</f>
        <v>MTR-1HP-TEFC</v>
      </c>
    </row>
    <row r="6" customFormat="false" ht="15" hidden="false" customHeight="false" outlineLevel="0" collapsed="false">
      <c r="A6" s="11" t="s">
        <v>114</v>
      </c>
      <c r="B6" s="11" t="s">
        <v>115</v>
      </c>
      <c r="C6" s="11" t="s">
        <v>73</v>
      </c>
      <c r="D6" s="16" t="n">
        <v>10</v>
      </c>
      <c r="E6" s="11" t="n">
        <v>10</v>
      </c>
      <c r="F6" s="11"/>
      <c r="G6" s="9" t="n">
        <v>7</v>
      </c>
      <c r="H6" s="11" t="n">
        <v>105</v>
      </c>
      <c r="I6" s="17"/>
      <c r="J6" s="18" t="n">
        <f aca="false">IF($A6="","",IF(COUNT(Usage!$C:$C)=0,"",MAX(0,SUMIFS(Usage!$C:$C,Usage!$A:$A,$AF6,Usage!$B:$B,"&gt;="&amp;(PlanDate-AduWindow),Usage!$B:$B,"&lt;"&amp;PlanDate))/AduWindow))</f>
        <v>4.24444444444444</v>
      </c>
      <c r="K6" s="18" t="n">
        <f aca="false">IF($A6="","",IF(AND(ISNUMBER($I6),N($I6)&gt;=0),$I6,$J6))</f>
        <v>4.24444444444444</v>
      </c>
      <c r="L6" s="19" t="str">
        <f aca="false">IF($A6="","",IF($K6="","Needs ADU",IF($K6&lt;=0,"No recent demand",IF(N($D6)&lt;=0,"Needs lead time","Planned"))))</f>
        <v>Planned</v>
      </c>
      <c r="M6" s="8" t="str">
        <f aca="false">IF($A6="","",IF(ISNUMBER(MATCH($C6,Profiles!$A$2:$A$100,0)),$C6,DefaultProfile))</f>
        <v>SM</v>
      </c>
      <c r="N6" s="20" t="n">
        <f aca="false">IF($A6="","",INDEX(Profiles!$D$2:$D$100,MATCH($M6,Profiles!$A$2:$A$100,0)))</f>
        <v>0.7</v>
      </c>
      <c r="O6" s="20" t="n">
        <f aca="false">IF($A6="","",INDEX(Profiles!$E$2:$E$100,MATCH($M6,Profiles!$A$2:$A$100,0)))</f>
        <v>0.5</v>
      </c>
      <c r="P6" s="21" t="n">
        <f aca="false">IF($L6&lt;&gt;"Planned","",$K6*$D6*$N6*(1+$O6))</f>
        <v>44.5666666666667</v>
      </c>
      <c r="Q6" s="21" t="n">
        <f aca="false">IF($L6&lt;&gt;"Planned","",$K6*$D6)</f>
        <v>42.4444444444444</v>
      </c>
      <c r="R6" s="21" t="n">
        <f aca="false">IF($L6&lt;&gt;"Planned","",MAX(N($E6),$K6*$D6*$N6,$K6*N($G6)))</f>
        <v>29.7111111111111</v>
      </c>
      <c r="S6" s="21" t="n">
        <f aca="false">IF($L6&lt;&gt;"Planned","",$P6)</f>
        <v>44.5666666666667</v>
      </c>
      <c r="T6" s="21" t="n">
        <f aca="false">IF($L6&lt;&gt;"Planned","",$P6+$Q6)</f>
        <v>87.0111111111111</v>
      </c>
      <c r="U6" s="21" t="n">
        <f aca="false">IF($L6&lt;&gt;"Planned","",$T6+$R6)</f>
        <v>116.722222222222</v>
      </c>
      <c r="V6" s="8" t="n">
        <f aca="false">IF($A6="","",SUMIFS('Open supply'!$C:$C,'Open supply'!$A:$A,$AF6))</f>
        <v>0</v>
      </c>
      <c r="W6" s="8" t="n">
        <f aca="false">IF($A6="","",SUMIFS('Open supply'!$C:$C,'Open supply'!$A:$A,$AF6,'Open supply'!$B:$B,"&lt;"&amp;PlanDate))</f>
        <v>0</v>
      </c>
      <c r="X6" s="8" t="n">
        <f aca="false">IF($A6="","",SUMIFS('Open demand'!$G:$G,'Open demand'!$A:$A,$AF6))</f>
        <v>0</v>
      </c>
      <c r="Y6" s="8" t="n">
        <f aca="false">IF($L6&lt;&gt;"Planned","",N($H6)+$V6-$X6)</f>
        <v>105</v>
      </c>
      <c r="Z6" s="19" t="str">
        <f aca="false">IF($L6&lt;&gt;"Planned","",IF($Y6&lt;=$S6,"Red",IF($Y6&lt;=$T6,"Yellow",IF($Y6&lt;=$U6,"Green","Above green"))))</f>
        <v>Green</v>
      </c>
      <c r="AA6" s="22" t="n">
        <f aca="false">IF(OR($L6&lt;&gt;"Planned",N($U6)&lt;=0),"",$Y6/$U6)</f>
        <v>0.899571632555926</v>
      </c>
      <c r="AB6" s="8" t="str">
        <f aca="false">IF($L6&lt;&gt;"Planned","",IF($Y6&lt;=$T6,ROUNDUP(MAX($U6-$Y6,N($E6))/IF(N($F6)&gt;0,$F6,1)-0.000000001,0)*IF(N($F6)&gt;0,$F6,1),""))</f>
        <v/>
      </c>
      <c r="AC6" s="23" t="str">
        <f aca="false">IF(N($AB6)&gt;0,PlanDate+ROUNDUP($D6,0),"")</f>
        <v/>
      </c>
      <c r="AD6" s="19" t="str">
        <f aca="false">IF($L6&lt;&gt;"Planned","",IF(N($H6)&lt;=0,"Stockout",IF(N($H6)&lt;$S6*0.5,"Critical",IF(N($H6)&lt;=$S6,"Low",IF(N($H6)&gt;$U6,"Over top of green","OK")))))</f>
        <v>OK</v>
      </c>
      <c r="AE6" s="8" t="str">
        <f aca="false">IF($A6="","",$A6&amp;"")</f>
        <v>HOSE-38-50</v>
      </c>
      <c r="AF6" s="8" t="str">
        <f aca="false">IF($A6="","",SUBSTITUTE(SUBSTITUTE(SUBSTITUTE($A6&amp;"","~","~~"),"*","~*"),"?","~?"))</f>
        <v>HOSE-38-50</v>
      </c>
    </row>
    <row r="7" customFormat="false" ht="15" hidden="false" customHeight="false" outlineLevel="0" collapsed="false">
      <c r="A7" s="11" t="s">
        <v>116</v>
      </c>
      <c r="B7" s="11" t="s">
        <v>117</v>
      </c>
      <c r="C7" s="11" t="s">
        <v>70</v>
      </c>
      <c r="D7" s="16" t="n">
        <v>7</v>
      </c>
      <c r="E7" s="11" t="n">
        <v>2000</v>
      </c>
      <c r="F7" s="11" t="n">
        <v>500</v>
      </c>
      <c r="G7" s="9" t="n">
        <v>14</v>
      </c>
      <c r="H7" s="11" t="n">
        <v>15530</v>
      </c>
      <c r="I7" s="17"/>
      <c r="J7" s="18" t="n">
        <f aca="false">IF($A7="","",IF(COUNT(Usage!$C:$C)=0,"",MAX(0,SUMIFS(Usage!$C:$C,Usage!$A:$A,$AF7,Usage!$B:$B,"&gt;="&amp;(PlanDate-AduWindow),Usage!$B:$B,"&lt;"&amp;PlanDate))/AduWindow))</f>
        <v>424.088888888889</v>
      </c>
      <c r="K7" s="18" t="n">
        <f aca="false">IF($A7="","",IF(AND(ISNUMBER($I7),N($I7)&gt;=0),$I7,$J7))</f>
        <v>424.088888888889</v>
      </c>
      <c r="L7" s="19" t="str">
        <f aca="false">IF($A7="","",IF($K7="","Needs ADU",IF($K7&lt;=0,"No recent demand",IF(N($D7)&lt;=0,"Needs lead time","Planned"))))</f>
        <v>Planned</v>
      </c>
      <c r="M7" s="8" t="str">
        <f aca="false">IF($A7="","",IF(ISNUMBER(MATCH($C7,Profiles!$A$2:$A$100,0)),$C7,DefaultProfile))</f>
        <v>SL</v>
      </c>
      <c r="N7" s="20" t="n">
        <f aca="false">IF($A7="","",INDEX(Profiles!$D$2:$D$100,MATCH($M7,Profiles!$A$2:$A$100,0)))</f>
        <v>0.7</v>
      </c>
      <c r="O7" s="20" t="n">
        <f aca="false">IF($A7="","",INDEX(Profiles!$E$2:$E$100,MATCH($M7,Profiles!$A$2:$A$100,0)))</f>
        <v>0.25</v>
      </c>
      <c r="P7" s="21" t="n">
        <f aca="false">IF($L7&lt;&gt;"Planned","",$K7*$D7*$N7*(1+$O7))</f>
        <v>2597.54444444444</v>
      </c>
      <c r="Q7" s="21" t="n">
        <f aca="false">IF($L7&lt;&gt;"Planned","",$K7*$D7)</f>
        <v>2968.62222222222</v>
      </c>
      <c r="R7" s="21" t="n">
        <f aca="false">IF($L7&lt;&gt;"Planned","",MAX(N($E7),$K7*$D7*$N7,$K7*N($G7)))</f>
        <v>5937.24444444444</v>
      </c>
      <c r="S7" s="21" t="n">
        <f aca="false">IF($L7&lt;&gt;"Planned","",$P7)</f>
        <v>2597.54444444444</v>
      </c>
      <c r="T7" s="21" t="n">
        <f aca="false">IF($L7&lt;&gt;"Planned","",$P7+$Q7)</f>
        <v>5566.16666666667</v>
      </c>
      <c r="U7" s="21" t="n">
        <f aca="false">IF($L7&lt;&gt;"Planned","",$T7+$R7)</f>
        <v>11503.4111111111</v>
      </c>
      <c r="V7" s="8" t="n">
        <f aca="false">IF($A7="","",SUMIFS('Open supply'!$C:$C,'Open supply'!$A:$A,$AF7))</f>
        <v>0</v>
      </c>
      <c r="W7" s="8" t="n">
        <f aca="false">IF($A7="","",SUMIFS('Open supply'!$C:$C,'Open supply'!$A:$A,$AF7,'Open supply'!$B:$B,"&lt;"&amp;PlanDate))</f>
        <v>0</v>
      </c>
      <c r="X7" s="8" t="n">
        <f aca="false">IF($A7="","",SUMIFS('Open demand'!$G:$G,'Open demand'!$A:$A,$AF7))</f>
        <v>0</v>
      </c>
      <c r="Y7" s="8" t="n">
        <f aca="false">IF($L7&lt;&gt;"Planned","",N($H7)+$V7-$X7)</f>
        <v>15530</v>
      </c>
      <c r="Z7" s="19" t="str">
        <f aca="false">IF($L7&lt;&gt;"Planned","",IF($Y7&lt;=$S7,"Red",IF($Y7&lt;=$T7,"Yellow",IF($Y7&lt;=$U7,"Green","Above green"))))</f>
        <v>Above green</v>
      </c>
      <c r="AA7" s="22" t="n">
        <f aca="false">IF(OR($L7&lt;&gt;"Planned",N($U7)&lt;=0),"",$Y7/$U7)</f>
        <v>1.35003433764091</v>
      </c>
      <c r="AB7" s="8" t="str">
        <f aca="false">IF($L7&lt;&gt;"Planned","",IF($Y7&lt;=$T7,ROUNDUP(MAX($U7-$Y7,N($E7))/IF(N($F7)&gt;0,$F7,1)-0.000000001,0)*IF(N($F7)&gt;0,$F7,1),""))</f>
        <v/>
      </c>
      <c r="AC7" s="23" t="str">
        <f aca="false">IF(N($AB7)&gt;0,PlanDate+ROUNDUP($D7,0),"")</f>
        <v/>
      </c>
      <c r="AD7" s="19" t="str">
        <f aca="false">IF($L7&lt;&gt;"Planned","",IF(N($H7)&lt;=0,"Stockout",IF(N($H7)&lt;$S7*0.5,"Critical",IF(N($H7)&lt;=$S7,"Low",IF(N($H7)&gt;$U7,"Over top of green","OK")))))</f>
        <v>Over top of green</v>
      </c>
      <c r="AE7" s="8" t="str">
        <f aca="false">IF($A7="","",$A7&amp;"")</f>
        <v>BOLT-M8-40</v>
      </c>
      <c r="AF7" s="8" t="str">
        <f aca="false">IF($A7="","",SUBSTITUTE(SUBSTITUTE(SUBSTITUTE($A7&amp;"","~","~~"),"*","~*"),"?","~?"))</f>
        <v>BOLT-M8-40</v>
      </c>
    </row>
    <row r="8" customFormat="false" ht="15" hidden="false" customHeight="false" outlineLevel="0" collapsed="false">
      <c r="A8" s="11" t="s">
        <v>118</v>
      </c>
      <c r="B8" s="11" t="s">
        <v>119</v>
      </c>
      <c r="C8" s="11" t="s">
        <v>13</v>
      </c>
      <c r="D8" s="16" t="n">
        <v>15</v>
      </c>
      <c r="E8" s="11" t="n">
        <v>200</v>
      </c>
      <c r="F8" s="11"/>
      <c r="G8" s="9" t="n">
        <v>14</v>
      </c>
      <c r="H8" s="11" t="n">
        <v>557</v>
      </c>
      <c r="I8" s="17"/>
      <c r="J8" s="18" t="n">
        <f aca="false">IF($A8="","",IF(COUNT(Usage!$C:$C)=0,"",MAX(0,SUMIFS(Usage!$C:$C,Usage!$A:$A,$AF8,Usage!$B:$B,"&gt;="&amp;(PlanDate-AduWindow),Usage!$B:$B,"&lt;"&amp;PlanDate))/AduWindow))</f>
        <v>26.1111111111111</v>
      </c>
      <c r="K8" s="18" t="n">
        <f aca="false">IF($A8="","",IF(AND(ISNUMBER($I8),N($I8)&gt;=0),$I8,$J8))</f>
        <v>26.1111111111111</v>
      </c>
      <c r="L8" s="19" t="str">
        <f aca="false">IF($A8="","",IF($K8="","Needs ADU",IF($K8&lt;=0,"No recent demand",IF(N($D8)&lt;=0,"Needs lead time","Planned"))))</f>
        <v>Planned</v>
      </c>
      <c r="M8" s="8" t="str">
        <f aca="false">IF($A8="","",IF(ISNUMBER(MATCH($C8,Profiles!$A$2:$A$100,0)),$C8,DefaultProfile))</f>
        <v>MM</v>
      </c>
      <c r="N8" s="20" t="n">
        <f aca="false">IF($A8="","",INDEX(Profiles!$D$2:$D$100,MATCH($M8,Profiles!$A$2:$A$100,0)))</f>
        <v>0.5</v>
      </c>
      <c r="O8" s="20" t="n">
        <f aca="false">IF($A8="","",INDEX(Profiles!$E$2:$E$100,MATCH($M8,Profiles!$A$2:$A$100,0)))</f>
        <v>0.5</v>
      </c>
      <c r="P8" s="21" t="n">
        <f aca="false">IF($L8&lt;&gt;"Planned","",$K8*$D8*$N8*(1+$O8))</f>
        <v>293.75</v>
      </c>
      <c r="Q8" s="21" t="n">
        <f aca="false">IF($L8&lt;&gt;"Planned","",$K8*$D8)</f>
        <v>391.666666666667</v>
      </c>
      <c r="R8" s="21" t="n">
        <f aca="false">IF($L8&lt;&gt;"Planned","",MAX(N($E8),$K8*$D8*$N8,$K8*N($G8)))</f>
        <v>365.555555555556</v>
      </c>
      <c r="S8" s="21" t="n">
        <f aca="false">IF($L8&lt;&gt;"Planned","",$P8)</f>
        <v>293.75</v>
      </c>
      <c r="T8" s="21" t="n">
        <f aca="false">IF($L8&lt;&gt;"Planned","",$P8+$Q8)</f>
        <v>685.416666666667</v>
      </c>
      <c r="U8" s="21" t="n">
        <f aca="false">IF($L8&lt;&gt;"Planned","",$T8+$R8)</f>
        <v>1050.97222222222</v>
      </c>
      <c r="V8" s="8" t="n">
        <f aca="false">IF($A8="","",SUMIFS('Open supply'!$C:$C,'Open supply'!$A:$A,$AF8))</f>
        <v>200</v>
      </c>
      <c r="W8" s="8" t="n">
        <f aca="false">IF($A8="","",SUMIFS('Open supply'!$C:$C,'Open supply'!$A:$A,$AF8,'Open supply'!$B:$B,"&lt;"&amp;PlanDate))</f>
        <v>0</v>
      </c>
      <c r="X8" s="8" t="n">
        <f aca="false">IF($A8="","",SUMIFS('Open demand'!$G:$G,'Open demand'!$A:$A,$AF8))</f>
        <v>0</v>
      </c>
      <c r="Y8" s="8" t="n">
        <f aca="false">IF($L8&lt;&gt;"Planned","",N($H8)+$V8-$X8)</f>
        <v>757</v>
      </c>
      <c r="Z8" s="19" t="str">
        <f aca="false">IF($L8&lt;&gt;"Planned","",IF($Y8&lt;=$S8,"Red",IF($Y8&lt;=$T8,"Yellow",IF($Y8&lt;=$U8,"Green","Above green"))))</f>
        <v>Green</v>
      </c>
      <c r="AA8" s="22" t="n">
        <f aca="false">IF(OR($L8&lt;&gt;"Planned",N($U8)&lt;=0),"",$Y8/$U8)</f>
        <v>0.720285449980177</v>
      </c>
      <c r="AB8" s="8" t="str">
        <f aca="false">IF($L8&lt;&gt;"Planned","",IF($Y8&lt;=$T8,ROUNDUP(MAX($U8-$Y8,N($E8))/IF(N($F8)&gt;0,$F8,1)-0.000000001,0)*IF(N($F8)&gt;0,$F8,1),""))</f>
        <v/>
      </c>
      <c r="AC8" s="23" t="str">
        <f aca="false">IF(N($AB8)&gt;0,PlanDate+ROUNDUP($D8,0),"")</f>
        <v/>
      </c>
      <c r="AD8" s="19" t="str">
        <f aca="false">IF($L8&lt;&gt;"Planned","",IF(N($H8)&lt;=0,"Stockout",IF(N($H8)&lt;$S8*0.5,"Critical",IF(N($H8)&lt;=$S8,"Low",IF(N($H8)&gt;$U8,"Over top of green","OK")))))</f>
        <v>OK</v>
      </c>
      <c r="AE8" s="8" t="str">
        <f aca="false">IF($A8="","",$A8&amp;"")</f>
        <v>GSKT-150-RF</v>
      </c>
      <c r="AF8" s="8" t="str">
        <f aca="false">IF($A8="","",SUBSTITUTE(SUBSTITUTE(SUBSTITUTE($A8&amp;"","~","~~"),"*","~*"),"?","~?"))</f>
        <v>GSKT-150-RF</v>
      </c>
    </row>
    <row r="9" customFormat="false" ht="15" hidden="false" customHeight="false" outlineLevel="0" collapsed="false">
      <c r="A9" s="11" t="s">
        <v>120</v>
      </c>
      <c r="B9" s="11" t="s">
        <v>121</v>
      </c>
      <c r="C9" s="11" t="s">
        <v>78</v>
      </c>
      <c r="D9" s="16" t="n">
        <v>28</v>
      </c>
      <c r="E9" s="11" t="n">
        <v>25</v>
      </c>
      <c r="F9" s="11"/>
      <c r="G9" s="9" t="n">
        <v>21</v>
      </c>
      <c r="H9" s="11" t="n">
        <v>76</v>
      </c>
      <c r="I9" s="17"/>
      <c r="J9" s="18" t="n">
        <f aca="false">IF($A9="","",IF(COUNT(Usage!$C:$C)=0,"",MAX(0,SUMIFS(Usage!$C:$C,Usage!$A:$A,$AF9,Usage!$B:$B,"&gt;="&amp;(PlanDate-AduWindow),Usage!$B:$B,"&lt;"&amp;PlanDate))/AduWindow))</f>
        <v>2.71111111111111</v>
      </c>
      <c r="K9" s="18" t="n">
        <f aca="false">IF($A9="","",IF(AND(ISNUMBER($I9),N($I9)&gt;=0),$I9,$J9))</f>
        <v>2.71111111111111</v>
      </c>
      <c r="L9" s="19" t="str">
        <f aca="false">IF($A9="","",IF($K9="","Needs ADU",IF($K9&lt;=0,"No recent demand",IF(N($D9)&lt;=0,"Needs lead time","Planned"))))</f>
        <v>Planned</v>
      </c>
      <c r="M9" s="8" t="str">
        <f aca="false">IF($A9="","",IF(ISNUMBER(MATCH($C9,Profiles!$A$2:$A$100,0)),$C9,DefaultProfile))</f>
        <v>MH</v>
      </c>
      <c r="N9" s="20" t="n">
        <f aca="false">IF($A9="","",INDEX(Profiles!$D$2:$D$100,MATCH($M9,Profiles!$A$2:$A$100,0)))</f>
        <v>0.5</v>
      </c>
      <c r="O9" s="20" t="n">
        <f aca="false">IF($A9="","",INDEX(Profiles!$E$2:$E$100,MATCH($M9,Profiles!$A$2:$A$100,0)))</f>
        <v>0.8</v>
      </c>
      <c r="P9" s="21" t="n">
        <f aca="false">IF($L9&lt;&gt;"Planned","",$K9*$D9*$N9*(1+$O9))</f>
        <v>68.32</v>
      </c>
      <c r="Q9" s="21" t="n">
        <f aca="false">IF($L9&lt;&gt;"Planned","",$K9*$D9)</f>
        <v>75.9111111111111</v>
      </c>
      <c r="R9" s="21" t="n">
        <f aca="false">IF($L9&lt;&gt;"Planned","",MAX(N($E9),$K9*$D9*$N9,$K9*N($G9)))</f>
        <v>56.9333333333333</v>
      </c>
      <c r="S9" s="21" t="n">
        <f aca="false">IF($L9&lt;&gt;"Planned","",$P9)</f>
        <v>68.32</v>
      </c>
      <c r="T9" s="21" t="n">
        <f aca="false">IF($L9&lt;&gt;"Planned","",$P9+$Q9)</f>
        <v>144.231111111111</v>
      </c>
      <c r="U9" s="21" t="n">
        <f aca="false">IF($L9&lt;&gt;"Planned","",$T9+$R9)</f>
        <v>201.164444444444</v>
      </c>
      <c r="V9" s="8" t="n">
        <f aca="false">IF($A9="","",SUMIFS('Open supply'!$C:$C,'Open supply'!$A:$A,$AF9))</f>
        <v>0</v>
      </c>
      <c r="W9" s="8" t="n">
        <f aca="false">IF($A9="","",SUMIFS('Open supply'!$C:$C,'Open supply'!$A:$A,$AF9,'Open supply'!$B:$B,"&lt;"&amp;PlanDate))</f>
        <v>0</v>
      </c>
      <c r="X9" s="8" t="n">
        <f aca="false">IF($A9="","",SUMIFS('Open demand'!$G:$G,'Open demand'!$A:$A,$AF9))</f>
        <v>0</v>
      </c>
      <c r="Y9" s="8" t="n">
        <f aca="false">IF($L9&lt;&gt;"Planned","",N($H9)+$V9-$X9)</f>
        <v>76</v>
      </c>
      <c r="Z9" s="19" t="str">
        <f aca="false">IF($L9&lt;&gt;"Planned","",IF($Y9&lt;=$S9,"Red",IF($Y9&lt;=$T9,"Yellow",IF($Y9&lt;=$U9,"Green","Above green"))))</f>
        <v>Yellow</v>
      </c>
      <c r="AA9" s="22" t="n">
        <f aca="false">IF(OR($L9&lt;&gt;"Planned",N($U9)&lt;=0),"",$Y9/$U9)</f>
        <v>0.37780036233485</v>
      </c>
      <c r="AB9" s="8" t="n">
        <f aca="false">IF($L9&lt;&gt;"Planned","",IF($Y9&lt;=$T9,ROUNDUP(MAX($U9-$Y9,N($E9))/IF(N($F9)&gt;0,$F9,1)-0.000000001,0)*IF(N($F9)&gt;0,$F9,1),""))</f>
        <v>126</v>
      </c>
      <c r="AC9" s="23" t="n">
        <f aca="false">IF(N($AB9)&gt;0,PlanDate+ROUNDUP($D9,0),"")</f>
        <v>46339</v>
      </c>
      <c r="AD9" s="19" t="str">
        <f aca="false">IF($L9&lt;&gt;"Planned","",IF(N($H9)&lt;=0,"Stockout",IF(N($H9)&lt;$S9*0.5,"Critical",IF(N($H9)&lt;=$S9,"Low",IF(N($H9)&gt;$U9,"Over top of green","OK")))))</f>
        <v>OK</v>
      </c>
      <c r="AE9" s="8" t="str">
        <f aca="false">IF($A9="","",$A9&amp;"")</f>
        <v>VLV-BALL-1</v>
      </c>
      <c r="AF9" s="8" t="str">
        <f aca="false">IF($A9="","",SUBSTITUTE(SUBSTITUTE(SUBSTITUTE($A9&amp;"","~","~~"),"*","~*"),"?","~?"))</f>
        <v>VLV-BALL-1</v>
      </c>
    </row>
    <row r="10" customFormat="false" ht="15" hidden="false" customHeight="false" outlineLevel="0" collapsed="false">
      <c r="A10" s="11" t="s">
        <v>122</v>
      </c>
      <c r="B10" s="11" t="s">
        <v>123</v>
      </c>
      <c r="C10" s="11" t="s">
        <v>13</v>
      </c>
      <c r="D10" s="16" t="n">
        <v>21</v>
      </c>
      <c r="E10" s="11" t="n">
        <v>20</v>
      </c>
      <c r="F10" s="11"/>
      <c r="G10" s="9" t="n">
        <v>14</v>
      </c>
      <c r="H10" s="11" t="n">
        <v>20</v>
      </c>
      <c r="I10" s="17"/>
      <c r="J10" s="18" t="n">
        <f aca="false">IF($A10="","",IF(COUNT(Usage!$C:$C)=0,"",MAX(0,SUMIFS(Usage!$C:$C,Usage!$A:$A,$AF10,Usage!$B:$B,"&gt;="&amp;(PlanDate-AduWindow),Usage!$B:$B,"&lt;"&amp;PlanDate))/AduWindow))</f>
        <v>4.81111111111111</v>
      </c>
      <c r="K10" s="18" t="n">
        <f aca="false">IF($A10="","",IF(AND(ISNUMBER($I10),N($I10)&gt;=0),$I10,$J10))</f>
        <v>4.81111111111111</v>
      </c>
      <c r="L10" s="19" t="str">
        <f aca="false">IF($A10="","",IF($K10="","Needs ADU",IF($K10&lt;=0,"No recent demand",IF(N($D10)&lt;=0,"Needs lead time","Planned"))))</f>
        <v>Planned</v>
      </c>
      <c r="M10" s="8" t="str">
        <f aca="false">IF($A10="","",IF(ISNUMBER(MATCH($C10,Profiles!$A$2:$A$100,0)),$C10,DefaultProfile))</f>
        <v>MM</v>
      </c>
      <c r="N10" s="20" t="n">
        <f aca="false">IF($A10="","",INDEX(Profiles!$D$2:$D$100,MATCH($M10,Profiles!$A$2:$A$100,0)))</f>
        <v>0.5</v>
      </c>
      <c r="O10" s="20" t="n">
        <f aca="false">IF($A10="","",INDEX(Profiles!$E$2:$E$100,MATCH($M10,Profiles!$A$2:$A$100,0)))</f>
        <v>0.5</v>
      </c>
      <c r="P10" s="21" t="n">
        <f aca="false">IF($L10&lt;&gt;"Planned","",$K10*$D10*$N10*(1+$O10))</f>
        <v>75.775</v>
      </c>
      <c r="Q10" s="21" t="n">
        <f aca="false">IF($L10&lt;&gt;"Planned","",$K10*$D10)</f>
        <v>101.033333333333</v>
      </c>
      <c r="R10" s="21" t="n">
        <f aca="false">IF($L10&lt;&gt;"Planned","",MAX(N($E10),$K10*$D10*$N10,$K10*N($G10)))</f>
        <v>67.3555555555556</v>
      </c>
      <c r="S10" s="21" t="n">
        <f aca="false">IF($L10&lt;&gt;"Planned","",$P10)</f>
        <v>75.775</v>
      </c>
      <c r="T10" s="21" t="n">
        <f aca="false">IF($L10&lt;&gt;"Planned","",$P10+$Q10)</f>
        <v>176.808333333333</v>
      </c>
      <c r="U10" s="21" t="n">
        <f aca="false">IF($L10&lt;&gt;"Planned","",$T10+$R10)</f>
        <v>244.163888888889</v>
      </c>
      <c r="V10" s="8" t="n">
        <f aca="false">IF($A10="","",SUMIFS('Open supply'!$C:$C,'Open supply'!$A:$A,$AF10))</f>
        <v>0</v>
      </c>
      <c r="W10" s="8" t="n">
        <f aca="false">IF($A10="","",SUMIFS('Open supply'!$C:$C,'Open supply'!$A:$A,$AF10,'Open supply'!$B:$B,"&lt;"&amp;PlanDate))</f>
        <v>0</v>
      </c>
      <c r="X10" s="8" t="n">
        <f aca="false">IF($A10="","",SUMIFS('Open demand'!$G:$G,'Open demand'!$A:$A,$AF10))</f>
        <v>10</v>
      </c>
      <c r="Y10" s="8" t="n">
        <f aca="false">IF($L10&lt;&gt;"Planned","",N($H10)+$V10-$X10)</f>
        <v>10</v>
      </c>
      <c r="Z10" s="19" t="str">
        <f aca="false">IF($L10&lt;&gt;"Planned","",IF($Y10&lt;=$S10,"Red",IF($Y10&lt;=$T10,"Yellow",IF($Y10&lt;=$U10,"Green","Above green"))))</f>
        <v>Red</v>
      </c>
      <c r="AA10" s="22" t="n">
        <f aca="false">IF(OR($L10&lt;&gt;"Planned",N($U10)&lt;=0),"",$Y10/$U10)</f>
        <v>0.0409560973389913</v>
      </c>
      <c r="AB10" s="8" t="n">
        <f aca="false">IF($L10&lt;&gt;"Planned","",IF($Y10&lt;=$T10,ROUNDUP(MAX($U10-$Y10,N($E10))/IF(N($F10)&gt;0,$F10,1)-0.000000001,0)*IF(N($F10)&gt;0,$F10,1),""))</f>
        <v>235</v>
      </c>
      <c r="AC10" s="23" t="n">
        <f aca="false">IF(N($AB10)&gt;0,PlanDate+ROUNDUP($D10,0),"")</f>
        <v>46332</v>
      </c>
      <c r="AD10" s="19" t="str">
        <f aca="false">IF($L10&lt;&gt;"Planned","",IF(N($H10)&lt;=0,"Stockout",IF(N($H10)&lt;$S10*0.5,"Critical",IF(N($H10)&lt;=$S10,"Low",IF(N($H10)&gt;$U10,"Over top of green","OK")))))</f>
        <v>Critical</v>
      </c>
      <c r="AE10" s="8" t="str">
        <f aca="false">IF($A10="","",$A10&amp;"")</f>
        <v>CPL-JAW-L100</v>
      </c>
      <c r="AF10" s="8" t="str">
        <f aca="false">IF($A10="","",SUBSTITUTE(SUBSTITUTE(SUBSTITUTE($A10&amp;"","~","~~"),"*","~*"),"?","~?"))</f>
        <v>CPL-JAW-L100</v>
      </c>
    </row>
    <row r="11" customFormat="false" ht="15" hidden="false" customHeight="false" outlineLevel="0" collapsed="false">
      <c r="A11" s="11" t="s">
        <v>124</v>
      </c>
      <c r="B11" s="11" t="s">
        <v>125</v>
      </c>
      <c r="C11" s="11" t="s">
        <v>73</v>
      </c>
      <c r="D11" s="16" t="n">
        <v>12</v>
      </c>
      <c r="E11" s="11" t="n">
        <v>120</v>
      </c>
      <c r="F11" s="11" t="n">
        <v>24</v>
      </c>
      <c r="G11" s="9" t="n">
        <v>14</v>
      </c>
      <c r="H11" s="11" t="n">
        <v>400</v>
      </c>
      <c r="I11" s="17"/>
      <c r="J11" s="18" t="n">
        <f aca="false">IF($A11="","",IF(COUNT(Usage!$C:$C)=0,"",MAX(0,SUMIFS(Usage!$C:$C,Usage!$A:$A,$AF11,Usage!$B:$B,"&gt;="&amp;(PlanDate-AduWindow),Usage!$B:$B,"&lt;"&amp;PlanDate))/AduWindow))</f>
        <v>18.8333333333333</v>
      </c>
      <c r="K11" s="18" t="n">
        <f aca="false">IF($A11="","",IF(AND(ISNUMBER($I11),N($I11)&gt;=0),$I11,$J11))</f>
        <v>18.8333333333333</v>
      </c>
      <c r="L11" s="19" t="str">
        <f aca="false">IF($A11="","",IF($K11="","Needs ADU",IF($K11&lt;=0,"No recent demand",IF(N($D11)&lt;=0,"Needs lead time","Planned"))))</f>
        <v>Planned</v>
      </c>
      <c r="M11" s="8" t="str">
        <f aca="false">IF($A11="","",IF(ISNUMBER(MATCH($C11,Profiles!$A$2:$A$100,0)),$C11,DefaultProfile))</f>
        <v>SM</v>
      </c>
      <c r="N11" s="20" t="n">
        <f aca="false">IF($A11="","",INDEX(Profiles!$D$2:$D$100,MATCH($M11,Profiles!$A$2:$A$100,0)))</f>
        <v>0.7</v>
      </c>
      <c r="O11" s="20" t="n">
        <f aca="false">IF($A11="","",INDEX(Profiles!$E$2:$E$100,MATCH($M11,Profiles!$A$2:$A$100,0)))</f>
        <v>0.5</v>
      </c>
      <c r="P11" s="21" t="n">
        <f aca="false">IF($L11&lt;&gt;"Planned","",$K11*$D11*$N11*(1+$O11))</f>
        <v>237.3</v>
      </c>
      <c r="Q11" s="21" t="n">
        <f aca="false">IF($L11&lt;&gt;"Planned","",$K11*$D11)</f>
        <v>226</v>
      </c>
      <c r="R11" s="21" t="n">
        <f aca="false">IF($L11&lt;&gt;"Planned","",MAX(N($E11),$K11*$D11*$N11,$K11*N($G11)))</f>
        <v>263.666666666667</v>
      </c>
      <c r="S11" s="21" t="n">
        <f aca="false">IF($L11&lt;&gt;"Planned","",$P11)</f>
        <v>237.3</v>
      </c>
      <c r="T11" s="21" t="n">
        <f aca="false">IF($L11&lt;&gt;"Planned","",$P11+$Q11)</f>
        <v>463.3</v>
      </c>
      <c r="U11" s="21" t="n">
        <f aca="false">IF($L11&lt;&gt;"Planned","",$T11+$R11)</f>
        <v>726.966666666667</v>
      </c>
      <c r="V11" s="8" t="n">
        <f aca="false">IF($A11="","",SUMIFS('Open supply'!$C:$C,'Open supply'!$A:$A,$AF11))</f>
        <v>0</v>
      </c>
      <c r="W11" s="8" t="n">
        <f aca="false">IF($A11="","",SUMIFS('Open supply'!$C:$C,'Open supply'!$A:$A,$AF11,'Open supply'!$B:$B,"&lt;"&amp;PlanDate))</f>
        <v>0</v>
      </c>
      <c r="X11" s="8" t="n">
        <f aca="false">IF($A11="","",SUMIFS('Open demand'!$G:$G,'Open demand'!$A:$A,$AF11))</f>
        <v>150</v>
      </c>
      <c r="Y11" s="8" t="n">
        <f aca="false">IF($L11&lt;&gt;"Planned","",N($H11)+$V11-$X11)</f>
        <v>250</v>
      </c>
      <c r="Z11" s="19" t="str">
        <f aca="false">IF($L11&lt;&gt;"Planned","",IF($Y11&lt;=$S11,"Red",IF($Y11&lt;=$T11,"Yellow",IF($Y11&lt;=$U11,"Green","Above green"))))</f>
        <v>Yellow</v>
      </c>
      <c r="AA11" s="22" t="n">
        <f aca="false">IF(OR($L11&lt;&gt;"Planned",N($U11)&lt;=0),"",$Y11/$U11)</f>
        <v>0.343894722362328</v>
      </c>
      <c r="AB11" s="8" t="n">
        <f aca="false">IF($L11&lt;&gt;"Planned","",IF($Y11&lt;=$T11,ROUNDUP(MAX($U11-$Y11,N($E11))/IF(N($F11)&gt;0,$F11,1)-0.000000001,0)*IF(N($F11)&gt;0,$F11,1),""))</f>
        <v>480</v>
      </c>
      <c r="AC11" s="23" t="n">
        <f aca="false">IF(N($AB11)&gt;0,PlanDate+ROUNDUP($D11,0),"")</f>
        <v>46323</v>
      </c>
      <c r="AD11" s="19" t="str">
        <f aca="false">IF($L11&lt;&gt;"Planned","",IF(N($H11)&lt;=0,"Stockout",IF(N($H11)&lt;$S11*0.5,"Critical",IF(N($H11)&lt;=$S11,"Low",IF(N($H11)&gt;$U11,"Over top of green","OK")))))</f>
        <v>OK</v>
      </c>
      <c r="AE11" s="8" t="str">
        <f aca="false">IF($A11="","",$A11&amp;"")</f>
        <v>GRS-EP2-14</v>
      </c>
      <c r="AF11" s="8" t="str">
        <f aca="false">IF($A11="","",SUBSTITUTE(SUBSTITUTE(SUBSTITUTE($A11&amp;"","~","~~"),"*","~*"),"?","~?"))</f>
        <v>GRS-EP2-14</v>
      </c>
    </row>
    <row r="12" customFormat="false" ht="15" hidden="false" customHeight="false" outlineLevel="0" collapsed="false">
      <c r="A12" s="11" t="s">
        <v>126</v>
      </c>
      <c r="B12" s="11" t="s">
        <v>127</v>
      </c>
      <c r="C12" s="11" t="s">
        <v>13</v>
      </c>
      <c r="D12" s="16" t="n">
        <v>14</v>
      </c>
      <c r="E12" s="11" t="n">
        <v>50</v>
      </c>
      <c r="F12" s="11"/>
      <c r="G12" s="9" t="n">
        <v>14</v>
      </c>
      <c r="H12" s="11" t="n">
        <v>170</v>
      </c>
      <c r="I12" s="17"/>
      <c r="J12" s="18" t="n">
        <f aca="false">IF($A12="","",IF(COUNT(Usage!$C:$C)=0,"",MAX(0,SUMIFS(Usage!$C:$C,Usage!$A:$A,$AF12,Usage!$B:$B,"&gt;="&amp;(PlanDate-AduWindow),Usage!$B:$B,"&lt;"&amp;PlanDate))/AduWindow))</f>
        <v>2.28888888888889</v>
      </c>
      <c r="K12" s="18" t="n">
        <f aca="false">IF($A12="","",IF(AND(ISNUMBER($I12),N($I12)&gt;=0),$I12,$J12))</f>
        <v>2.28888888888889</v>
      </c>
      <c r="L12" s="19" t="str">
        <f aca="false">IF($A12="","",IF($K12="","Needs ADU",IF($K12&lt;=0,"No recent demand",IF(N($D12)&lt;=0,"Needs lead time","Planned"))))</f>
        <v>Planned</v>
      </c>
      <c r="M12" s="8" t="str">
        <f aca="false">IF($A12="","",IF(ISNUMBER(MATCH($C12,Profiles!$A$2:$A$100,0)),$C12,DefaultProfile))</f>
        <v>MM</v>
      </c>
      <c r="N12" s="20" t="n">
        <f aca="false">IF($A12="","",INDEX(Profiles!$D$2:$D$100,MATCH($M12,Profiles!$A$2:$A$100,0)))</f>
        <v>0.5</v>
      </c>
      <c r="O12" s="20" t="n">
        <f aca="false">IF($A12="","",INDEX(Profiles!$E$2:$E$100,MATCH($M12,Profiles!$A$2:$A$100,0)))</f>
        <v>0.5</v>
      </c>
      <c r="P12" s="21" t="n">
        <f aca="false">IF($L12&lt;&gt;"Planned","",$K12*$D12*$N12*(1+$O12))</f>
        <v>24.0333333333333</v>
      </c>
      <c r="Q12" s="21" t="n">
        <f aca="false">IF($L12&lt;&gt;"Planned","",$K12*$D12)</f>
        <v>32.0444444444444</v>
      </c>
      <c r="R12" s="21" t="n">
        <f aca="false">IF($L12&lt;&gt;"Planned","",MAX(N($E12),$K12*$D12*$N12,$K12*N($G12)))</f>
        <v>50</v>
      </c>
      <c r="S12" s="21" t="n">
        <f aca="false">IF($L12&lt;&gt;"Planned","",$P12)</f>
        <v>24.0333333333333</v>
      </c>
      <c r="T12" s="21" t="n">
        <f aca="false">IF($L12&lt;&gt;"Planned","",$P12+$Q12)</f>
        <v>56.0777777777778</v>
      </c>
      <c r="U12" s="21" t="n">
        <f aca="false">IF($L12&lt;&gt;"Planned","",$T12+$R12)</f>
        <v>106.077777777778</v>
      </c>
      <c r="V12" s="8" t="n">
        <f aca="false">IF($A12="","",SUMIFS('Open supply'!$C:$C,'Open supply'!$A:$A,$AF12))</f>
        <v>0</v>
      </c>
      <c r="W12" s="8" t="n">
        <f aca="false">IF($A12="","",SUMIFS('Open supply'!$C:$C,'Open supply'!$A:$A,$AF12,'Open supply'!$B:$B,"&lt;"&amp;PlanDate))</f>
        <v>0</v>
      </c>
      <c r="X12" s="8" t="n">
        <f aca="false">IF($A12="","",SUMIFS('Open demand'!$G:$G,'Open demand'!$A:$A,$AF12))</f>
        <v>0</v>
      </c>
      <c r="Y12" s="8" t="n">
        <f aca="false">IF($L12&lt;&gt;"Planned","",N($H12)+$V12-$X12)</f>
        <v>170</v>
      </c>
      <c r="Z12" s="19" t="str">
        <f aca="false">IF($L12&lt;&gt;"Planned","",IF($Y12&lt;=$S12,"Red",IF($Y12&lt;=$T12,"Yellow",IF($Y12&lt;=$U12,"Green","Above green"))))</f>
        <v>Above green</v>
      </c>
      <c r="AA12" s="22" t="n">
        <f aca="false">IF(OR($L12&lt;&gt;"Planned",N($U12)&lt;=0),"",$Y12/$U12)</f>
        <v>1.6025976746622</v>
      </c>
      <c r="AB12" s="8" t="str">
        <f aca="false">IF($L12&lt;&gt;"Planned","",IF($Y12&lt;=$T12,ROUNDUP(MAX($U12-$Y12,N($E12))/IF(N($F12)&gt;0,$F12,1)-0.000000001,0)*IF(N($F12)&gt;0,$F12,1),""))</f>
        <v/>
      </c>
      <c r="AC12" s="23" t="str">
        <f aca="false">IF(N($AB12)&gt;0,PlanDate+ROUNDUP($D12,0),"")</f>
        <v/>
      </c>
      <c r="AD12" s="19" t="str">
        <f aca="false">IF($L12&lt;&gt;"Planned","",IF(N($H12)&lt;=0,"Stockout",IF(N($H12)&lt;$S12*0.5,"Critical",IF(N($H12)&lt;=$S12,"Low",IF(N($H12)&gt;$U12,"Over top of green","OK")))))</f>
        <v>Over top of green</v>
      </c>
      <c r="AE12" s="8" t="str">
        <f aca="false">IF($A12="","",$A12&amp;"")</f>
        <v>BLT-A42</v>
      </c>
      <c r="AF12" s="8" t="str">
        <f aca="false">IF($A12="","",SUBSTITUTE(SUBSTITUTE(SUBSTITUTE($A12&amp;"","~","~~"),"*","~*"),"?","~?"))</f>
        <v>BLT-A42</v>
      </c>
    </row>
    <row r="13" customFormat="false" ht="15" hidden="false" customHeight="false" outlineLevel="0" collapsed="false">
      <c r="A13" s="11" t="s">
        <v>128</v>
      </c>
      <c r="B13" s="11" t="s">
        <v>129</v>
      </c>
      <c r="C13" s="11" t="s">
        <v>13</v>
      </c>
      <c r="D13" s="16" t="n">
        <v>21</v>
      </c>
      <c r="E13" s="11"/>
      <c r="F13" s="11"/>
      <c r="G13" s="9"/>
      <c r="H13" s="11" t="n">
        <v>35</v>
      </c>
      <c r="I13" s="17"/>
      <c r="J13" s="18" t="n">
        <f aca="false">IF($A13="","",IF(COUNT(Usage!$C:$C)=0,"",MAX(0,SUMIFS(Usage!$C:$C,Usage!$A:$A,$AF13,Usage!$B:$B,"&gt;="&amp;(PlanDate-AduWindow),Usage!$B:$B,"&lt;"&amp;PlanDate))/AduWindow))</f>
        <v>0</v>
      </c>
      <c r="K13" s="18" t="n">
        <f aca="false">IF($A13="","",IF(AND(ISNUMBER($I13),N($I13)&gt;=0),$I13,$J13))</f>
        <v>0</v>
      </c>
      <c r="L13" s="19" t="str">
        <f aca="false">IF($A13="","",IF($K13="","Needs ADU",IF($K13&lt;=0,"No recent demand",IF(N($D13)&lt;=0,"Needs lead time","Planned"))))</f>
        <v>No recent demand</v>
      </c>
      <c r="M13" s="8" t="str">
        <f aca="false">IF($A13="","",IF(ISNUMBER(MATCH($C13,Profiles!$A$2:$A$100,0)),$C13,DefaultProfile))</f>
        <v>MM</v>
      </c>
      <c r="N13" s="20" t="n">
        <f aca="false">IF($A13="","",INDEX(Profiles!$D$2:$D$100,MATCH($M13,Profiles!$A$2:$A$100,0)))</f>
        <v>0.5</v>
      </c>
      <c r="O13" s="20" t="n">
        <f aca="false">IF($A13="","",INDEX(Profiles!$E$2:$E$100,MATCH($M13,Profiles!$A$2:$A$100,0)))</f>
        <v>0.5</v>
      </c>
      <c r="P13" s="21" t="str">
        <f aca="false">IF($L13&lt;&gt;"Planned","",$K13*$D13*$N13*(1+$O13))</f>
        <v/>
      </c>
      <c r="Q13" s="21" t="str">
        <f aca="false">IF($L13&lt;&gt;"Planned","",$K13*$D13)</f>
        <v/>
      </c>
      <c r="R13" s="21" t="str">
        <f aca="false">IF($L13&lt;&gt;"Planned","",MAX(N($E13),$K13*$D13*$N13,$K13*N($G13)))</f>
        <v/>
      </c>
      <c r="S13" s="21" t="str">
        <f aca="false">IF($L13&lt;&gt;"Planned","",$P13)</f>
        <v/>
      </c>
      <c r="T13" s="21" t="str">
        <f aca="false">IF($L13&lt;&gt;"Planned","",$P13+$Q13)</f>
        <v/>
      </c>
      <c r="U13" s="21" t="str">
        <f aca="false">IF($L13&lt;&gt;"Planned","",$T13+$R13)</f>
        <v/>
      </c>
      <c r="V13" s="8" t="n">
        <f aca="false">IF($A13="","",SUMIFS('Open supply'!$C:$C,'Open supply'!$A:$A,$AF13))</f>
        <v>0</v>
      </c>
      <c r="W13" s="8" t="n">
        <f aca="false">IF($A13="","",SUMIFS('Open supply'!$C:$C,'Open supply'!$A:$A,$AF13,'Open supply'!$B:$B,"&lt;"&amp;PlanDate))</f>
        <v>0</v>
      </c>
      <c r="X13" s="8" t="n">
        <f aca="false">IF($A13="","",SUMIFS('Open demand'!$G:$G,'Open demand'!$A:$A,$AF13))</f>
        <v>0</v>
      </c>
      <c r="Y13" s="8" t="str">
        <f aca="false">IF($L13&lt;&gt;"Planned","",N($H13)+$V13-$X13)</f>
        <v/>
      </c>
      <c r="Z13" s="19" t="str">
        <f aca="false">IF($L13&lt;&gt;"Planned","",IF($Y13&lt;=$S13,"Red",IF($Y13&lt;=$T13,"Yellow",IF($Y13&lt;=$U13,"Green","Above green"))))</f>
        <v/>
      </c>
      <c r="AA13" s="22" t="str">
        <f aca="false">IF(OR($L13&lt;&gt;"Planned",N($U13)&lt;=0),"",$Y13/$U13)</f>
        <v/>
      </c>
      <c r="AB13" s="8" t="str">
        <f aca="false">IF($L13&lt;&gt;"Planned","",IF($Y13&lt;=$T13,ROUNDUP(MAX($U13-$Y13,N($E13))/IF(N($F13)&gt;0,$F13,1)-0.000000001,0)*IF(N($F13)&gt;0,$F13,1),""))</f>
        <v/>
      </c>
      <c r="AC13" s="23" t="str">
        <f aca="false">IF(N($AB13)&gt;0,PlanDate+ROUNDUP($D13,0),"")</f>
        <v/>
      </c>
      <c r="AD13" s="19" t="str">
        <f aca="false">IF($L13&lt;&gt;"Planned","",IF(N($H13)&lt;=0,"Stockout",IF(N($H13)&lt;$S13*0.5,"Critical",IF(N($H13)&lt;=$S13,"Low",IF(N($H13)&gt;$U13,"Over top of green","OK")))))</f>
        <v/>
      </c>
      <c r="AE13" s="8" t="str">
        <f aca="false">IF($A13="","",$A13&amp;"")</f>
        <v>SNSR-PROX-12</v>
      </c>
      <c r="AF13" s="8" t="str">
        <f aca="false">IF($A13="","",SUBSTITUTE(SUBSTITUTE(SUBSTITUTE($A13&amp;"","~","~~"),"*","~*"),"?","~?"))</f>
        <v>SNSR-PROX-12</v>
      </c>
    </row>
    <row r="14" customFormat="false" ht="15" hidden="false" customHeight="false" outlineLevel="0" collapsed="false">
      <c r="A14" s="11"/>
      <c r="B14" s="11"/>
      <c r="C14" s="11"/>
      <c r="D14" s="16"/>
      <c r="E14" s="11"/>
      <c r="F14" s="11"/>
      <c r="G14" s="9"/>
      <c r="H14" s="11"/>
      <c r="I14" s="17"/>
      <c r="J14" s="18" t="str">
        <f aca="false">IF($A14="","",IF(COUNT(Usage!$C:$C)=0,"",MAX(0,SUMIFS(Usage!$C:$C,Usage!$A:$A,$AF14,Usage!$B:$B,"&gt;="&amp;(PlanDate-AduWindow),Usage!$B:$B,"&lt;"&amp;PlanDate))/AduWindow))</f>
        <v/>
      </c>
      <c r="K14" s="18" t="str">
        <f aca="false">IF($A14="","",IF(AND(ISNUMBER($I14),N($I14)&gt;=0),$I14,$J14))</f>
        <v/>
      </c>
      <c r="L14" s="19" t="str">
        <f aca="false">IF($A14="","",IF($K14="","Needs ADU",IF($K14&lt;=0,"No recent demand",IF(N($D14)&lt;=0,"Needs lead time","Planned"))))</f>
        <v/>
      </c>
      <c r="M14" s="8" t="str">
        <f aca="false">IF($A14="","",IF(ISNUMBER(MATCH($C14,Profiles!$A$2:$A$100,0)),$C14,DefaultProfile))</f>
        <v/>
      </c>
      <c r="N14" s="20" t="str">
        <f aca="false">IF($A14="","",INDEX(Profiles!$D$2:$D$100,MATCH($M14,Profiles!$A$2:$A$100,0)))</f>
        <v/>
      </c>
      <c r="O14" s="20" t="str">
        <f aca="false">IF($A14="","",INDEX(Profiles!$E$2:$E$100,MATCH($M14,Profiles!$A$2:$A$100,0)))</f>
        <v/>
      </c>
      <c r="P14" s="21" t="str">
        <f aca="false">IF($L14&lt;&gt;"Planned","",$K14*$D14*$N14*(1+$O14))</f>
        <v/>
      </c>
      <c r="Q14" s="21" t="str">
        <f aca="false">IF($L14&lt;&gt;"Planned","",$K14*$D14)</f>
        <v/>
      </c>
      <c r="R14" s="21" t="str">
        <f aca="false">IF($L14&lt;&gt;"Planned","",MAX(N($E14),$K14*$D14*$N14,$K14*N($G14)))</f>
        <v/>
      </c>
      <c r="S14" s="21" t="str">
        <f aca="false">IF($L14&lt;&gt;"Planned","",$P14)</f>
        <v/>
      </c>
      <c r="T14" s="21" t="str">
        <f aca="false">IF($L14&lt;&gt;"Planned","",$P14+$Q14)</f>
        <v/>
      </c>
      <c r="U14" s="21" t="str">
        <f aca="false">IF($L14&lt;&gt;"Planned","",$T14+$R14)</f>
        <v/>
      </c>
      <c r="V14" s="8" t="str">
        <f aca="false">IF($A14="","",SUMIFS('Open supply'!$C:$C,'Open supply'!$A:$A,$AF14))</f>
        <v/>
      </c>
      <c r="W14" s="8" t="str">
        <f aca="false">IF($A14="","",SUMIFS('Open supply'!$C:$C,'Open supply'!$A:$A,$AF14,'Open supply'!$B:$B,"&lt;"&amp;PlanDate))</f>
        <v/>
      </c>
      <c r="X14" s="8" t="str">
        <f aca="false">IF($A14="","",SUMIFS('Open demand'!$G:$G,'Open demand'!$A:$A,$AF14))</f>
        <v/>
      </c>
      <c r="Y14" s="8" t="str">
        <f aca="false">IF($L14&lt;&gt;"Planned","",N($H14)+$V14-$X14)</f>
        <v/>
      </c>
      <c r="Z14" s="19" t="str">
        <f aca="false">IF($L14&lt;&gt;"Planned","",IF($Y14&lt;=$S14,"Red",IF($Y14&lt;=$T14,"Yellow",IF($Y14&lt;=$U14,"Green","Above green"))))</f>
        <v/>
      </c>
      <c r="AA14" s="22" t="str">
        <f aca="false">IF(OR($L14&lt;&gt;"Planned",N($U14)&lt;=0),"",$Y14/$U14)</f>
        <v/>
      </c>
      <c r="AB14" s="8" t="str">
        <f aca="false">IF($L14&lt;&gt;"Planned","",IF($Y14&lt;=$T14,ROUNDUP(MAX($U14-$Y14,N($E14))/IF(N($F14)&gt;0,$F14,1)-0.000000001,0)*IF(N($F14)&gt;0,$F14,1),""))</f>
        <v/>
      </c>
      <c r="AC14" s="23" t="str">
        <f aca="false">IF(N($AB14)&gt;0,PlanDate+ROUNDUP($D14,0),"")</f>
        <v/>
      </c>
      <c r="AD14" s="19" t="str">
        <f aca="false">IF($L14&lt;&gt;"Planned","",IF(N($H14)&lt;=0,"Stockout",IF(N($H14)&lt;$S14*0.5,"Critical",IF(N($H14)&lt;=$S14,"Low",IF(N($H14)&gt;$U14,"Over top of green","OK")))))</f>
        <v/>
      </c>
      <c r="AE14" s="8" t="str">
        <f aca="false">IF($A14="","",$A14&amp;"")</f>
        <v/>
      </c>
      <c r="AF14" s="8" t="str">
        <f aca="false">IF($A14="","",SUBSTITUTE(SUBSTITUTE(SUBSTITUTE($A14&amp;"","~","~~"),"*","~*"),"?","~?"))</f>
        <v/>
      </c>
    </row>
    <row r="15" customFormat="false" ht="15" hidden="false" customHeight="false" outlineLevel="0" collapsed="false">
      <c r="A15" s="11"/>
      <c r="B15" s="11"/>
      <c r="C15" s="11"/>
      <c r="D15" s="16"/>
      <c r="E15" s="11"/>
      <c r="F15" s="11"/>
      <c r="G15" s="9"/>
      <c r="H15" s="11"/>
      <c r="I15" s="17"/>
      <c r="J15" s="18" t="str">
        <f aca="false">IF($A15="","",IF(COUNT(Usage!$C:$C)=0,"",MAX(0,SUMIFS(Usage!$C:$C,Usage!$A:$A,$AF15,Usage!$B:$B,"&gt;="&amp;(PlanDate-AduWindow),Usage!$B:$B,"&lt;"&amp;PlanDate))/AduWindow))</f>
        <v/>
      </c>
      <c r="K15" s="18" t="str">
        <f aca="false">IF($A15="","",IF(AND(ISNUMBER($I15),N($I15)&gt;=0),$I15,$J15))</f>
        <v/>
      </c>
      <c r="L15" s="19" t="str">
        <f aca="false">IF($A15="","",IF($K15="","Needs ADU",IF($K15&lt;=0,"No recent demand",IF(N($D15)&lt;=0,"Needs lead time","Planned"))))</f>
        <v/>
      </c>
      <c r="M15" s="8" t="str">
        <f aca="false">IF($A15="","",IF(ISNUMBER(MATCH($C15,Profiles!$A$2:$A$100,0)),$C15,DefaultProfile))</f>
        <v/>
      </c>
      <c r="N15" s="20" t="str">
        <f aca="false">IF($A15="","",INDEX(Profiles!$D$2:$D$100,MATCH($M15,Profiles!$A$2:$A$100,0)))</f>
        <v/>
      </c>
      <c r="O15" s="20" t="str">
        <f aca="false">IF($A15="","",INDEX(Profiles!$E$2:$E$100,MATCH($M15,Profiles!$A$2:$A$100,0)))</f>
        <v/>
      </c>
      <c r="P15" s="21" t="str">
        <f aca="false">IF($L15&lt;&gt;"Planned","",$K15*$D15*$N15*(1+$O15))</f>
        <v/>
      </c>
      <c r="Q15" s="21" t="str">
        <f aca="false">IF($L15&lt;&gt;"Planned","",$K15*$D15)</f>
        <v/>
      </c>
      <c r="R15" s="21" t="str">
        <f aca="false">IF($L15&lt;&gt;"Planned","",MAX(N($E15),$K15*$D15*$N15,$K15*N($G15)))</f>
        <v/>
      </c>
      <c r="S15" s="21" t="str">
        <f aca="false">IF($L15&lt;&gt;"Planned","",$P15)</f>
        <v/>
      </c>
      <c r="T15" s="21" t="str">
        <f aca="false">IF($L15&lt;&gt;"Planned","",$P15+$Q15)</f>
        <v/>
      </c>
      <c r="U15" s="21" t="str">
        <f aca="false">IF($L15&lt;&gt;"Planned","",$T15+$R15)</f>
        <v/>
      </c>
      <c r="V15" s="8" t="str">
        <f aca="false">IF($A15="","",SUMIFS('Open supply'!$C:$C,'Open supply'!$A:$A,$AF15))</f>
        <v/>
      </c>
      <c r="W15" s="8" t="str">
        <f aca="false">IF($A15="","",SUMIFS('Open supply'!$C:$C,'Open supply'!$A:$A,$AF15,'Open supply'!$B:$B,"&lt;"&amp;PlanDate))</f>
        <v/>
      </c>
      <c r="X15" s="8" t="str">
        <f aca="false">IF($A15="","",SUMIFS('Open demand'!$G:$G,'Open demand'!$A:$A,$AF15))</f>
        <v/>
      </c>
      <c r="Y15" s="8" t="str">
        <f aca="false">IF($L15&lt;&gt;"Planned","",N($H15)+$V15-$X15)</f>
        <v/>
      </c>
      <c r="Z15" s="19" t="str">
        <f aca="false">IF($L15&lt;&gt;"Planned","",IF($Y15&lt;=$S15,"Red",IF($Y15&lt;=$T15,"Yellow",IF($Y15&lt;=$U15,"Green","Above green"))))</f>
        <v/>
      </c>
      <c r="AA15" s="22" t="str">
        <f aca="false">IF(OR($L15&lt;&gt;"Planned",N($U15)&lt;=0),"",$Y15/$U15)</f>
        <v/>
      </c>
      <c r="AB15" s="8" t="str">
        <f aca="false">IF($L15&lt;&gt;"Planned","",IF($Y15&lt;=$T15,ROUNDUP(MAX($U15-$Y15,N($E15))/IF(N($F15)&gt;0,$F15,1)-0.000000001,0)*IF(N($F15)&gt;0,$F15,1),""))</f>
        <v/>
      </c>
      <c r="AC15" s="23" t="str">
        <f aca="false">IF(N($AB15)&gt;0,PlanDate+ROUNDUP($D15,0),"")</f>
        <v/>
      </c>
      <c r="AD15" s="19" t="str">
        <f aca="false">IF($L15&lt;&gt;"Planned","",IF(N($H15)&lt;=0,"Stockout",IF(N($H15)&lt;$S15*0.5,"Critical",IF(N($H15)&lt;=$S15,"Low",IF(N($H15)&gt;$U15,"Over top of green","OK")))))</f>
        <v/>
      </c>
      <c r="AE15" s="8" t="str">
        <f aca="false">IF($A15="","",$A15&amp;"")</f>
        <v/>
      </c>
      <c r="AF15" s="8" t="str">
        <f aca="false">IF($A15="","",SUBSTITUTE(SUBSTITUTE(SUBSTITUTE($A15&amp;"","~","~~"),"*","~*"),"?","~?"))</f>
        <v/>
      </c>
    </row>
    <row r="16" customFormat="false" ht="15" hidden="false" customHeight="false" outlineLevel="0" collapsed="false">
      <c r="A16" s="11"/>
      <c r="B16" s="11"/>
      <c r="C16" s="11"/>
      <c r="D16" s="16"/>
      <c r="E16" s="11"/>
      <c r="F16" s="11"/>
      <c r="G16" s="9"/>
      <c r="H16" s="11"/>
      <c r="I16" s="17"/>
      <c r="J16" s="18" t="str">
        <f aca="false">IF($A16="","",IF(COUNT(Usage!$C:$C)=0,"",MAX(0,SUMIFS(Usage!$C:$C,Usage!$A:$A,$AF16,Usage!$B:$B,"&gt;="&amp;(PlanDate-AduWindow),Usage!$B:$B,"&lt;"&amp;PlanDate))/AduWindow))</f>
        <v/>
      </c>
      <c r="K16" s="18" t="str">
        <f aca="false">IF($A16="","",IF(AND(ISNUMBER($I16),N($I16)&gt;=0),$I16,$J16))</f>
        <v/>
      </c>
      <c r="L16" s="19" t="str">
        <f aca="false">IF($A16="","",IF($K16="","Needs ADU",IF($K16&lt;=0,"No recent demand",IF(N($D16)&lt;=0,"Needs lead time","Planned"))))</f>
        <v/>
      </c>
      <c r="M16" s="8" t="str">
        <f aca="false">IF($A16="","",IF(ISNUMBER(MATCH($C16,Profiles!$A$2:$A$100,0)),$C16,DefaultProfile))</f>
        <v/>
      </c>
      <c r="N16" s="20" t="str">
        <f aca="false">IF($A16="","",INDEX(Profiles!$D$2:$D$100,MATCH($M16,Profiles!$A$2:$A$100,0)))</f>
        <v/>
      </c>
      <c r="O16" s="20" t="str">
        <f aca="false">IF($A16="","",INDEX(Profiles!$E$2:$E$100,MATCH($M16,Profiles!$A$2:$A$100,0)))</f>
        <v/>
      </c>
      <c r="P16" s="21" t="str">
        <f aca="false">IF($L16&lt;&gt;"Planned","",$K16*$D16*$N16*(1+$O16))</f>
        <v/>
      </c>
      <c r="Q16" s="21" t="str">
        <f aca="false">IF($L16&lt;&gt;"Planned","",$K16*$D16)</f>
        <v/>
      </c>
      <c r="R16" s="21" t="str">
        <f aca="false">IF($L16&lt;&gt;"Planned","",MAX(N($E16),$K16*$D16*$N16,$K16*N($G16)))</f>
        <v/>
      </c>
      <c r="S16" s="21" t="str">
        <f aca="false">IF($L16&lt;&gt;"Planned","",$P16)</f>
        <v/>
      </c>
      <c r="T16" s="21" t="str">
        <f aca="false">IF($L16&lt;&gt;"Planned","",$P16+$Q16)</f>
        <v/>
      </c>
      <c r="U16" s="21" t="str">
        <f aca="false">IF($L16&lt;&gt;"Planned","",$T16+$R16)</f>
        <v/>
      </c>
      <c r="V16" s="8" t="str">
        <f aca="false">IF($A16="","",SUMIFS('Open supply'!$C:$C,'Open supply'!$A:$A,$AF16))</f>
        <v/>
      </c>
      <c r="W16" s="8" t="str">
        <f aca="false">IF($A16="","",SUMIFS('Open supply'!$C:$C,'Open supply'!$A:$A,$AF16,'Open supply'!$B:$B,"&lt;"&amp;PlanDate))</f>
        <v/>
      </c>
      <c r="X16" s="8" t="str">
        <f aca="false">IF($A16="","",SUMIFS('Open demand'!$G:$G,'Open demand'!$A:$A,$AF16))</f>
        <v/>
      </c>
      <c r="Y16" s="8" t="str">
        <f aca="false">IF($L16&lt;&gt;"Planned","",N($H16)+$V16-$X16)</f>
        <v/>
      </c>
      <c r="Z16" s="19" t="str">
        <f aca="false">IF($L16&lt;&gt;"Planned","",IF($Y16&lt;=$S16,"Red",IF($Y16&lt;=$T16,"Yellow",IF($Y16&lt;=$U16,"Green","Above green"))))</f>
        <v/>
      </c>
      <c r="AA16" s="22" t="str">
        <f aca="false">IF(OR($L16&lt;&gt;"Planned",N($U16)&lt;=0),"",$Y16/$U16)</f>
        <v/>
      </c>
      <c r="AB16" s="8" t="str">
        <f aca="false">IF($L16&lt;&gt;"Planned","",IF($Y16&lt;=$T16,ROUNDUP(MAX($U16-$Y16,N($E16))/IF(N($F16)&gt;0,$F16,1)-0.000000001,0)*IF(N($F16)&gt;0,$F16,1),""))</f>
        <v/>
      </c>
      <c r="AC16" s="23" t="str">
        <f aca="false">IF(N($AB16)&gt;0,PlanDate+ROUNDUP($D16,0),"")</f>
        <v/>
      </c>
      <c r="AD16" s="19" t="str">
        <f aca="false">IF($L16&lt;&gt;"Planned","",IF(N($H16)&lt;=0,"Stockout",IF(N($H16)&lt;$S16*0.5,"Critical",IF(N($H16)&lt;=$S16,"Low",IF(N($H16)&gt;$U16,"Over top of green","OK")))))</f>
        <v/>
      </c>
      <c r="AE16" s="8" t="str">
        <f aca="false">IF($A16="","",$A16&amp;"")</f>
        <v/>
      </c>
      <c r="AF16" s="8" t="str">
        <f aca="false">IF($A16="","",SUBSTITUTE(SUBSTITUTE(SUBSTITUTE($A16&amp;"","~","~~"),"*","~*"),"?","~?"))</f>
        <v/>
      </c>
    </row>
    <row r="17" customFormat="false" ht="15" hidden="false" customHeight="false" outlineLevel="0" collapsed="false">
      <c r="A17" s="11"/>
      <c r="B17" s="11"/>
      <c r="C17" s="11"/>
      <c r="D17" s="16"/>
      <c r="E17" s="11"/>
      <c r="F17" s="11"/>
      <c r="G17" s="9"/>
      <c r="H17" s="11"/>
      <c r="I17" s="17"/>
      <c r="J17" s="18" t="str">
        <f aca="false">IF($A17="","",IF(COUNT(Usage!$C:$C)=0,"",MAX(0,SUMIFS(Usage!$C:$C,Usage!$A:$A,$AF17,Usage!$B:$B,"&gt;="&amp;(PlanDate-AduWindow),Usage!$B:$B,"&lt;"&amp;PlanDate))/AduWindow))</f>
        <v/>
      </c>
      <c r="K17" s="18" t="str">
        <f aca="false">IF($A17="","",IF(AND(ISNUMBER($I17),N($I17)&gt;=0),$I17,$J17))</f>
        <v/>
      </c>
      <c r="L17" s="19" t="str">
        <f aca="false">IF($A17="","",IF($K17="","Needs ADU",IF($K17&lt;=0,"No recent demand",IF(N($D17)&lt;=0,"Needs lead time","Planned"))))</f>
        <v/>
      </c>
      <c r="M17" s="8" t="str">
        <f aca="false">IF($A17="","",IF(ISNUMBER(MATCH($C17,Profiles!$A$2:$A$100,0)),$C17,DefaultProfile))</f>
        <v/>
      </c>
      <c r="N17" s="20" t="str">
        <f aca="false">IF($A17="","",INDEX(Profiles!$D$2:$D$100,MATCH($M17,Profiles!$A$2:$A$100,0)))</f>
        <v/>
      </c>
      <c r="O17" s="20" t="str">
        <f aca="false">IF($A17="","",INDEX(Profiles!$E$2:$E$100,MATCH($M17,Profiles!$A$2:$A$100,0)))</f>
        <v/>
      </c>
      <c r="P17" s="21" t="str">
        <f aca="false">IF($L17&lt;&gt;"Planned","",$K17*$D17*$N17*(1+$O17))</f>
        <v/>
      </c>
      <c r="Q17" s="21" t="str">
        <f aca="false">IF($L17&lt;&gt;"Planned","",$K17*$D17)</f>
        <v/>
      </c>
      <c r="R17" s="21" t="str">
        <f aca="false">IF($L17&lt;&gt;"Planned","",MAX(N($E17),$K17*$D17*$N17,$K17*N($G17)))</f>
        <v/>
      </c>
      <c r="S17" s="21" t="str">
        <f aca="false">IF($L17&lt;&gt;"Planned","",$P17)</f>
        <v/>
      </c>
      <c r="T17" s="21" t="str">
        <f aca="false">IF($L17&lt;&gt;"Planned","",$P17+$Q17)</f>
        <v/>
      </c>
      <c r="U17" s="21" t="str">
        <f aca="false">IF($L17&lt;&gt;"Planned","",$T17+$R17)</f>
        <v/>
      </c>
      <c r="V17" s="8" t="str">
        <f aca="false">IF($A17="","",SUMIFS('Open supply'!$C:$C,'Open supply'!$A:$A,$AF17))</f>
        <v/>
      </c>
      <c r="W17" s="8" t="str">
        <f aca="false">IF($A17="","",SUMIFS('Open supply'!$C:$C,'Open supply'!$A:$A,$AF17,'Open supply'!$B:$B,"&lt;"&amp;PlanDate))</f>
        <v/>
      </c>
      <c r="X17" s="8" t="str">
        <f aca="false">IF($A17="","",SUMIFS('Open demand'!$G:$G,'Open demand'!$A:$A,$AF17))</f>
        <v/>
      </c>
      <c r="Y17" s="8" t="str">
        <f aca="false">IF($L17&lt;&gt;"Planned","",N($H17)+$V17-$X17)</f>
        <v/>
      </c>
      <c r="Z17" s="19" t="str">
        <f aca="false">IF($L17&lt;&gt;"Planned","",IF($Y17&lt;=$S17,"Red",IF($Y17&lt;=$T17,"Yellow",IF($Y17&lt;=$U17,"Green","Above green"))))</f>
        <v/>
      </c>
      <c r="AA17" s="22" t="str">
        <f aca="false">IF(OR($L17&lt;&gt;"Planned",N($U17)&lt;=0),"",$Y17/$U17)</f>
        <v/>
      </c>
      <c r="AB17" s="8" t="str">
        <f aca="false">IF($L17&lt;&gt;"Planned","",IF($Y17&lt;=$T17,ROUNDUP(MAX($U17-$Y17,N($E17))/IF(N($F17)&gt;0,$F17,1)-0.000000001,0)*IF(N($F17)&gt;0,$F17,1),""))</f>
        <v/>
      </c>
      <c r="AC17" s="23" t="str">
        <f aca="false">IF(N($AB17)&gt;0,PlanDate+ROUNDUP($D17,0),"")</f>
        <v/>
      </c>
      <c r="AD17" s="19" t="str">
        <f aca="false">IF($L17&lt;&gt;"Planned","",IF(N($H17)&lt;=0,"Stockout",IF(N($H17)&lt;$S17*0.5,"Critical",IF(N($H17)&lt;=$S17,"Low",IF(N($H17)&gt;$U17,"Over top of green","OK")))))</f>
        <v/>
      </c>
      <c r="AE17" s="8" t="str">
        <f aca="false">IF($A17="","",$A17&amp;"")</f>
        <v/>
      </c>
      <c r="AF17" s="8" t="str">
        <f aca="false">IF($A17="","",SUBSTITUTE(SUBSTITUTE(SUBSTITUTE($A17&amp;"","~","~~"),"*","~*"),"?","~?"))</f>
        <v/>
      </c>
    </row>
    <row r="18" customFormat="false" ht="15" hidden="false" customHeight="false" outlineLevel="0" collapsed="false">
      <c r="A18" s="11"/>
      <c r="B18" s="11"/>
      <c r="C18" s="11"/>
      <c r="D18" s="16"/>
      <c r="E18" s="11"/>
      <c r="F18" s="11"/>
      <c r="G18" s="9"/>
      <c r="H18" s="11"/>
      <c r="I18" s="17"/>
      <c r="J18" s="18" t="str">
        <f aca="false">IF($A18="","",IF(COUNT(Usage!$C:$C)=0,"",MAX(0,SUMIFS(Usage!$C:$C,Usage!$A:$A,$AF18,Usage!$B:$B,"&gt;="&amp;(PlanDate-AduWindow),Usage!$B:$B,"&lt;"&amp;PlanDate))/AduWindow))</f>
        <v/>
      </c>
      <c r="K18" s="18" t="str">
        <f aca="false">IF($A18="","",IF(AND(ISNUMBER($I18),N($I18)&gt;=0),$I18,$J18))</f>
        <v/>
      </c>
      <c r="L18" s="19" t="str">
        <f aca="false">IF($A18="","",IF($K18="","Needs ADU",IF($K18&lt;=0,"No recent demand",IF(N($D18)&lt;=0,"Needs lead time","Planned"))))</f>
        <v/>
      </c>
      <c r="M18" s="8" t="str">
        <f aca="false">IF($A18="","",IF(ISNUMBER(MATCH($C18,Profiles!$A$2:$A$100,0)),$C18,DefaultProfile))</f>
        <v/>
      </c>
      <c r="N18" s="20" t="str">
        <f aca="false">IF($A18="","",INDEX(Profiles!$D$2:$D$100,MATCH($M18,Profiles!$A$2:$A$100,0)))</f>
        <v/>
      </c>
      <c r="O18" s="20" t="str">
        <f aca="false">IF($A18="","",INDEX(Profiles!$E$2:$E$100,MATCH($M18,Profiles!$A$2:$A$100,0)))</f>
        <v/>
      </c>
      <c r="P18" s="21" t="str">
        <f aca="false">IF($L18&lt;&gt;"Planned","",$K18*$D18*$N18*(1+$O18))</f>
        <v/>
      </c>
      <c r="Q18" s="21" t="str">
        <f aca="false">IF($L18&lt;&gt;"Planned","",$K18*$D18)</f>
        <v/>
      </c>
      <c r="R18" s="21" t="str">
        <f aca="false">IF($L18&lt;&gt;"Planned","",MAX(N($E18),$K18*$D18*$N18,$K18*N($G18)))</f>
        <v/>
      </c>
      <c r="S18" s="21" t="str">
        <f aca="false">IF($L18&lt;&gt;"Planned","",$P18)</f>
        <v/>
      </c>
      <c r="T18" s="21" t="str">
        <f aca="false">IF($L18&lt;&gt;"Planned","",$P18+$Q18)</f>
        <v/>
      </c>
      <c r="U18" s="21" t="str">
        <f aca="false">IF($L18&lt;&gt;"Planned","",$T18+$R18)</f>
        <v/>
      </c>
      <c r="V18" s="8" t="str">
        <f aca="false">IF($A18="","",SUMIFS('Open supply'!$C:$C,'Open supply'!$A:$A,$AF18))</f>
        <v/>
      </c>
      <c r="W18" s="8" t="str">
        <f aca="false">IF($A18="","",SUMIFS('Open supply'!$C:$C,'Open supply'!$A:$A,$AF18,'Open supply'!$B:$B,"&lt;"&amp;PlanDate))</f>
        <v/>
      </c>
      <c r="X18" s="8" t="str">
        <f aca="false">IF($A18="","",SUMIFS('Open demand'!$G:$G,'Open demand'!$A:$A,$AF18))</f>
        <v/>
      </c>
      <c r="Y18" s="8" t="str">
        <f aca="false">IF($L18&lt;&gt;"Planned","",N($H18)+$V18-$X18)</f>
        <v/>
      </c>
      <c r="Z18" s="19" t="str">
        <f aca="false">IF($L18&lt;&gt;"Planned","",IF($Y18&lt;=$S18,"Red",IF($Y18&lt;=$T18,"Yellow",IF($Y18&lt;=$U18,"Green","Above green"))))</f>
        <v/>
      </c>
      <c r="AA18" s="22" t="str">
        <f aca="false">IF(OR($L18&lt;&gt;"Planned",N($U18)&lt;=0),"",$Y18/$U18)</f>
        <v/>
      </c>
      <c r="AB18" s="8" t="str">
        <f aca="false">IF($L18&lt;&gt;"Planned","",IF($Y18&lt;=$T18,ROUNDUP(MAX($U18-$Y18,N($E18))/IF(N($F18)&gt;0,$F18,1)-0.000000001,0)*IF(N($F18)&gt;0,$F18,1),""))</f>
        <v/>
      </c>
      <c r="AC18" s="23" t="str">
        <f aca="false">IF(N($AB18)&gt;0,PlanDate+ROUNDUP($D18,0),"")</f>
        <v/>
      </c>
      <c r="AD18" s="19" t="str">
        <f aca="false">IF($L18&lt;&gt;"Planned","",IF(N($H18)&lt;=0,"Stockout",IF(N($H18)&lt;$S18*0.5,"Critical",IF(N($H18)&lt;=$S18,"Low",IF(N($H18)&gt;$U18,"Over top of green","OK")))))</f>
        <v/>
      </c>
      <c r="AE18" s="8" t="str">
        <f aca="false">IF($A18="","",$A18&amp;"")</f>
        <v/>
      </c>
      <c r="AF18" s="8" t="str">
        <f aca="false">IF($A18="","",SUBSTITUTE(SUBSTITUTE(SUBSTITUTE($A18&amp;"","~","~~"),"*","~*"),"?","~?"))</f>
        <v/>
      </c>
    </row>
    <row r="19" customFormat="false" ht="15" hidden="false" customHeight="false" outlineLevel="0" collapsed="false">
      <c r="A19" s="11"/>
      <c r="B19" s="11"/>
      <c r="C19" s="11"/>
      <c r="D19" s="16"/>
      <c r="E19" s="11"/>
      <c r="F19" s="11"/>
      <c r="G19" s="9"/>
      <c r="H19" s="11"/>
      <c r="I19" s="17"/>
      <c r="J19" s="18" t="str">
        <f aca="false">IF($A19="","",IF(COUNT(Usage!$C:$C)=0,"",MAX(0,SUMIFS(Usage!$C:$C,Usage!$A:$A,$AF19,Usage!$B:$B,"&gt;="&amp;(PlanDate-AduWindow),Usage!$B:$B,"&lt;"&amp;PlanDate))/AduWindow))</f>
        <v/>
      </c>
      <c r="K19" s="18" t="str">
        <f aca="false">IF($A19="","",IF(AND(ISNUMBER($I19),N($I19)&gt;=0),$I19,$J19))</f>
        <v/>
      </c>
      <c r="L19" s="19" t="str">
        <f aca="false">IF($A19="","",IF($K19="","Needs ADU",IF($K19&lt;=0,"No recent demand",IF(N($D19)&lt;=0,"Needs lead time","Planned"))))</f>
        <v/>
      </c>
      <c r="M19" s="8" t="str">
        <f aca="false">IF($A19="","",IF(ISNUMBER(MATCH($C19,Profiles!$A$2:$A$100,0)),$C19,DefaultProfile))</f>
        <v/>
      </c>
      <c r="N19" s="20" t="str">
        <f aca="false">IF($A19="","",INDEX(Profiles!$D$2:$D$100,MATCH($M19,Profiles!$A$2:$A$100,0)))</f>
        <v/>
      </c>
      <c r="O19" s="20" t="str">
        <f aca="false">IF($A19="","",INDEX(Profiles!$E$2:$E$100,MATCH($M19,Profiles!$A$2:$A$100,0)))</f>
        <v/>
      </c>
      <c r="P19" s="21" t="str">
        <f aca="false">IF($L19&lt;&gt;"Planned","",$K19*$D19*$N19*(1+$O19))</f>
        <v/>
      </c>
      <c r="Q19" s="21" t="str">
        <f aca="false">IF($L19&lt;&gt;"Planned","",$K19*$D19)</f>
        <v/>
      </c>
      <c r="R19" s="21" t="str">
        <f aca="false">IF($L19&lt;&gt;"Planned","",MAX(N($E19),$K19*$D19*$N19,$K19*N($G19)))</f>
        <v/>
      </c>
      <c r="S19" s="21" t="str">
        <f aca="false">IF($L19&lt;&gt;"Planned","",$P19)</f>
        <v/>
      </c>
      <c r="T19" s="21" t="str">
        <f aca="false">IF($L19&lt;&gt;"Planned","",$P19+$Q19)</f>
        <v/>
      </c>
      <c r="U19" s="21" t="str">
        <f aca="false">IF($L19&lt;&gt;"Planned","",$T19+$R19)</f>
        <v/>
      </c>
      <c r="V19" s="8" t="str">
        <f aca="false">IF($A19="","",SUMIFS('Open supply'!$C:$C,'Open supply'!$A:$A,$AF19))</f>
        <v/>
      </c>
      <c r="W19" s="8" t="str">
        <f aca="false">IF($A19="","",SUMIFS('Open supply'!$C:$C,'Open supply'!$A:$A,$AF19,'Open supply'!$B:$B,"&lt;"&amp;PlanDate))</f>
        <v/>
      </c>
      <c r="X19" s="8" t="str">
        <f aca="false">IF($A19="","",SUMIFS('Open demand'!$G:$G,'Open demand'!$A:$A,$AF19))</f>
        <v/>
      </c>
      <c r="Y19" s="8" t="str">
        <f aca="false">IF($L19&lt;&gt;"Planned","",N($H19)+$V19-$X19)</f>
        <v/>
      </c>
      <c r="Z19" s="19" t="str">
        <f aca="false">IF($L19&lt;&gt;"Planned","",IF($Y19&lt;=$S19,"Red",IF($Y19&lt;=$T19,"Yellow",IF($Y19&lt;=$U19,"Green","Above green"))))</f>
        <v/>
      </c>
      <c r="AA19" s="22" t="str">
        <f aca="false">IF(OR($L19&lt;&gt;"Planned",N($U19)&lt;=0),"",$Y19/$U19)</f>
        <v/>
      </c>
      <c r="AB19" s="8" t="str">
        <f aca="false">IF($L19&lt;&gt;"Planned","",IF($Y19&lt;=$T19,ROUNDUP(MAX($U19-$Y19,N($E19))/IF(N($F19)&gt;0,$F19,1)-0.000000001,0)*IF(N($F19)&gt;0,$F19,1),""))</f>
        <v/>
      </c>
      <c r="AC19" s="23" t="str">
        <f aca="false">IF(N($AB19)&gt;0,PlanDate+ROUNDUP($D19,0),"")</f>
        <v/>
      </c>
      <c r="AD19" s="19" t="str">
        <f aca="false">IF($L19&lt;&gt;"Planned","",IF(N($H19)&lt;=0,"Stockout",IF(N($H19)&lt;$S19*0.5,"Critical",IF(N($H19)&lt;=$S19,"Low",IF(N($H19)&gt;$U19,"Over top of green","OK")))))</f>
        <v/>
      </c>
      <c r="AE19" s="8" t="str">
        <f aca="false">IF($A19="","",$A19&amp;"")</f>
        <v/>
      </c>
      <c r="AF19" s="8" t="str">
        <f aca="false">IF($A19="","",SUBSTITUTE(SUBSTITUTE(SUBSTITUTE($A19&amp;"","~","~~"),"*","~*"),"?","~?"))</f>
        <v/>
      </c>
    </row>
    <row r="20" customFormat="false" ht="15" hidden="false" customHeight="false" outlineLevel="0" collapsed="false">
      <c r="A20" s="11"/>
      <c r="B20" s="11"/>
      <c r="C20" s="11"/>
      <c r="D20" s="16"/>
      <c r="E20" s="11"/>
      <c r="F20" s="11"/>
      <c r="G20" s="9"/>
      <c r="H20" s="11"/>
      <c r="I20" s="17"/>
      <c r="J20" s="18" t="str">
        <f aca="false">IF($A20="","",IF(COUNT(Usage!$C:$C)=0,"",MAX(0,SUMIFS(Usage!$C:$C,Usage!$A:$A,$AF20,Usage!$B:$B,"&gt;="&amp;(PlanDate-AduWindow),Usage!$B:$B,"&lt;"&amp;PlanDate))/AduWindow))</f>
        <v/>
      </c>
      <c r="K20" s="18" t="str">
        <f aca="false">IF($A20="","",IF(AND(ISNUMBER($I20),N($I20)&gt;=0),$I20,$J20))</f>
        <v/>
      </c>
      <c r="L20" s="19" t="str">
        <f aca="false">IF($A20="","",IF($K20="","Needs ADU",IF($K20&lt;=0,"No recent demand",IF(N($D20)&lt;=0,"Needs lead time","Planned"))))</f>
        <v/>
      </c>
      <c r="M20" s="8" t="str">
        <f aca="false">IF($A20="","",IF(ISNUMBER(MATCH($C20,Profiles!$A$2:$A$100,0)),$C20,DefaultProfile))</f>
        <v/>
      </c>
      <c r="N20" s="20" t="str">
        <f aca="false">IF($A20="","",INDEX(Profiles!$D$2:$D$100,MATCH($M20,Profiles!$A$2:$A$100,0)))</f>
        <v/>
      </c>
      <c r="O20" s="20" t="str">
        <f aca="false">IF($A20="","",INDEX(Profiles!$E$2:$E$100,MATCH($M20,Profiles!$A$2:$A$100,0)))</f>
        <v/>
      </c>
      <c r="P20" s="21" t="str">
        <f aca="false">IF($L20&lt;&gt;"Planned","",$K20*$D20*$N20*(1+$O20))</f>
        <v/>
      </c>
      <c r="Q20" s="21" t="str">
        <f aca="false">IF($L20&lt;&gt;"Planned","",$K20*$D20)</f>
        <v/>
      </c>
      <c r="R20" s="21" t="str">
        <f aca="false">IF($L20&lt;&gt;"Planned","",MAX(N($E20),$K20*$D20*$N20,$K20*N($G20)))</f>
        <v/>
      </c>
      <c r="S20" s="21" t="str">
        <f aca="false">IF($L20&lt;&gt;"Planned","",$P20)</f>
        <v/>
      </c>
      <c r="T20" s="21" t="str">
        <f aca="false">IF($L20&lt;&gt;"Planned","",$P20+$Q20)</f>
        <v/>
      </c>
      <c r="U20" s="21" t="str">
        <f aca="false">IF($L20&lt;&gt;"Planned","",$T20+$R20)</f>
        <v/>
      </c>
      <c r="V20" s="8" t="str">
        <f aca="false">IF($A20="","",SUMIFS('Open supply'!$C:$C,'Open supply'!$A:$A,$AF20))</f>
        <v/>
      </c>
      <c r="W20" s="8" t="str">
        <f aca="false">IF($A20="","",SUMIFS('Open supply'!$C:$C,'Open supply'!$A:$A,$AF20,'Open supply'!$B:$B,"&lt;"&amp;PlanDate))</f>
        <v/>
      </c>
      <c r="X20" s="8" t="str">
        <f aca="false">IF($A20="","",SUMIFS('Open demand'!$G:$G,'Open demand'!$A:$A,$AF20))</f>
        <v/>
      </c>
      <c r="Y20" s="8" t="str">
        <f aca="false">IF($L20&lt;&gt;"Planned","",N($H20)+$V20-$X20)</f>
        <v/>
      </c>
      <c r="Z20" s="19" t="str">
        <f aca="false">IF($L20&lt;&gt;"Planned","",IF($Y20&lt;=$S20,"Red",IF($Y20&lt;=$T20,"Yellow",IF($Y20&lt;=$U20,"Green","Above green"))))</f>
        <v/>
      </c>
      <c r="AA20" s="22" t="str">
        <f aca="false">IF(OR($L20&lt;&gt;"Planned",N($U20)&lt;=0),"",$Y20/$U20)</f>
        <v/>
      </c>
      <c r="AB20" s="8" t="str">
        <f aca="false">IF($L20&lt;&gt;"Planned","",IF($Y20&lt;=$T20,ROUNDUP(MAX($U20-$Y20,N($E20))/IF(N($F20)&gt;0,$F20,1)-0.000000001,0)*IF(N($F20)&gt;0,$F20,1),""))</f>
        <v/>
      </c>
      <c r="AC20" s="23" t="str">
        <f aca="false">IF(N($AB20)&gt;0,PlanDate+ROUNDUP($D20,0),"")</f>
        <v/>
      </c>
      <c r="AD20" s="19" t="str">
        <f aca="false">IF($L20&lt;&gt;"Planned","",IF(N($H20)&lt;=0,"Stockout",IF(N($H20)&lt;$S20*0.5,"Critical",IF(N($H20)&lt;=$S20,"Low",IF(N($H20)&gt;$U20,"Over top of green","OK")))))</f>
        <v/>
      </c>
      <c r="AE20" s="8" t="str">
        <f aca="false">IF($A20="","",$A20&amp;"")</f>
        <v/>
      </c>
      <c r="AF20" s="8" t="str">
        <f aca="false">IF($A20="","",SUBSTITUTE(SUBSTITUTE(SUBSTITUTE($A20&amp;"","~","~~"),"*","~*"),"?","~?"))</f>
        <v/>
      </c>
    </row>
    <row r="21" customFormat="false" ht="15" hidden="false" customHeight="false" outlineLevel="0" collapsed="false">
      <c r="A21" s="11"/>
      <c r="B21" s="11"/>
      <c r="C21" s="11"/>
      <c r="D21" s="16"/>
      <c r="E21" s="11"/>
      <c r="F21" s="11"/>
      <c r="G21" s="9"/>
      <c r="H21" s="11"/>
      <c r="I21" s="17"/>
      <c r="J21" s="18" t="str">
        <f aca="false">IF($A21="","",IF(COUNT(Usage!$C:$C)=0,"",MAX(0,SUMIFS(Usage!$C:$C,Usage!$A:$A,$AF21,Usage!$B:$B,"&gt;="&amp;(PlanDate-AduWindow),Usage!$B:$B,"&lt;"&amp;PlanDate))/AduWindow))</f>
        <v/>
      </c>
      <c r="K21" s="18" t="str">
        <f aca="false">IF($A21="","",IF(AND(ISNUMBER($I21),N($I21)&gt;=0),$I21,$J21))</f>
        <v/>
      </c>
      <c r="L21" s="19" t="str">
        <f aca="false">IF($A21="","",IF($K21="","Needs ADU",IF($K21&lt;=0,"No recent demand",IF(N($D21)&lt;=0,"Needs lead time","Planned"))))</f>
        <v/>
      </c>
      <c r="M21" s="8" t="str">
        <f aca="false">IF($A21="","",IF(ISNUMBER(MATCH($C21,Profiles!$A$2:$A$100,0)),$C21,DefaultProfile))</f>
        <v/>
      </c>
      <c r="N21" s="20" t="str">
        <f aca="false">IF($A21="","",INDEX(Profiles!$D$2:$D$100,MATCH($M21,Profiles!$A$2:$A$100,0)))</f>
        <v/>
      </c>
      <c r="O21" s="20" t="str">
        <f aca="false">IF($A21="","",INDEX(Profiles!$E$2:$E$100,MATCH($M21,Profiles!$A$2:$A$100,0)))</f>
        <v/>
      </c>
      <c r="P21" s="21" t="str">
        <f aca="false">IF($L21&lt;&gt;"Planned","",$K21*$D21*$N21*(1+$O21))</f>
        <v/>
      </c>
      <c r="Q21" s="21" t="str">
        <f aca="false">IF($L21&lt;&gt;"Planned","",$K21*$D21)</f>
        <v/>
      </c>
      <c r="R21" s="21" t="str">
        <f aca="false">IF($L21&lt;&gt;"Planned","",MAX(N($E21),$K21*$D21*$N21,$K21*N($G21)))</f>
        <v/>
      </c>
      <c r="S21" s="21" t="str">
        <f aca="false">IF($L21&lt;&gt;"Planned","",$P21)</f>
        <v/>
      </c>
      <c r="T21" s="21" t="str">
        <f aca="false">IF($L21&lt;&gt;"Planned","",$P21+$Q21)</f>
        <v/>
      </c>
      <c r="U21" s="21" t="str">
        <f aca="false">IF($L21&lt;&gt;"Planned","",$T21+$R21)</f>
        <v/>
      </c>
      <c r="V21" s="8" t="str">
        <f aca="false">IF($A21="","",SUMIFS('Open supply'!$C:$C,'Open supply'!$A:$A,$AF21))</f>
        <v/>
      </c>
      <c r="W21" s="8" t="str">
        <f aca="false">IF($A21="","",SUMIFS('Open supply'!$C:$C,'Open supply'!$A:$A,$AF21,'Open supply'!$B:$B,"&lt;"&amp;PlanDate))</f>
        <v/>
      </c>
      <c r="X21" s="8" t="str">
        <f aca="false">IF($A21="","",SUMIFS('Open demand'!$G:$G,'Open demand'!$A:$A,$AF21))</f>
        <v/>
      </c>
      <c r="Y21" s="8" t="str">
        <f aca="false">IF($L21&lt;&gt;"Planned","",N($H21)+$V21-$X21)</f>
        <v/>
      </c>
      <c r="Z21" s="19" t="str">
        <f aca="false">IF($L21&lt;&gt;"Planned","",IF($Y21&lt;=$S21,"Red",IF($Y21&lt;=$T21,"Yellow",IF($Y21&lt;=$U21,"Green","Above green"))))</f>
        <v/>
      </c>
      <c r="AA21" s="22" t="str">
        <f aca="false">IF(OR($L21&lt;&gt;"Planned",N($U21)&lt;=0),"",$Y21/$U21)</f>
        <v/>
      </c>
      <c r="AB21" s="8" t="str">
        <f aca="false">IF($L21&lt;&gt;"Planned","",IF($Y21&lt;=$T21,ROUNDUP(MAX($U21-$Y21,N($E21))/IF(N($F21)&gt;0,$F21,1)-0.000000001,0)*IF(N($F21)&gt;0,$F21,1),""))</f>
        <v/>
      </c>
      <c r="AC21" s="23" t="str">
        <f aca="false">IF(N($AB21)&gt;0,PlanDate+ROUNDUP($D21,0),"")</f>
        <v/>
      </c>
      <c r="AD21" s="19" t="str">
        <f aca="false">IF($L21&lt;&gt;"Planned","",IF(N($H21)&lt;=0,"Stockout",IF(N($H21)&lt;$S21*0.5,"Critical",IF(N($H21)&lt;=$S21,"Low",IF(N($H21)&gt;$U21,"Over top of green","OK")))))</f>
        <v/>
      </c>
      <c r="AE21" s="8" t="str">
        <f aca="false">IF($A21="","",$A21&amp;"")</f>
        <v/>
      </c>
      <c r="AF21" s="8" t="str">
        <f aca="false">IF($A21="","",SUBSTITUTE(SUBSTITUTE(SUBSTITUTE($A21&amp;"","~","~~"),"*","~*"),"?","~?"))</f>
        <v/>
      </c>
    </row>
    <row r="22" customFormat="false" ht="15" hidden="false" customHeight="false" outlineLevel="0" collapsed="false">
      <c r="A22" s="11"/>
      <c r="B22" s="11"/>
      <c r="C22" s="11"/>
      <c r="D22" s="16"/>
      <c r="E22" s="11"/>
      <c r="F22" s="11"/>
      <c r="G22" s="9"/>
      <c r="H22" s="11"/>
      <c r="I22" s="17"/>
      <c r="J22" s="18" t="str">
        <f aca="false">IF($A22="","",IF(COUNT(Usage!$C:$C)=0,"",MAX(0,SUMIFS(Usage!$C:$C,Usage!$A:$A,$AF22,Usage!$B:$B,"&gt;="&amp;(PlanDate-AduWindow),Usage!$B:$B,"&lt;"&amp;PlanDate))/AduWindow))</f>
        <v/>
      </c>
      <c r="K22" s="18" t="str">
        <f aca="false">IF($A22="","",IF(AND(ISNUMBER($I22),N($I22)&gt;=0),$I22,$J22))</f>
        <v/>
      </c>
      <c r="L22" s="19" t="str">
        <f aca="false">IF($A22="","",IF($K22="","Needs ADU",IF($K22&lt;=0,"No recent demand",IF(N($D22)&lt;=0,"Needs lead time","Planned"))))</f>
        <v/>
      </c>
      <c r="M22" s="8" t="str">
        <f aca="false">IF($A22="","",IF(ISNUMBER(MATCH($C22,Profiles!$A$2:$A$100,0)),$C22,DefaultProfile))</f>
        <v/>
      </c>
      <c r="N22" s="20" t="str">
        <f aca="false">IF($A22="","",INDEX(Profiles!$D$2:$D$100,MATCH($M22,Profiles!$A$2:$A$100,0)))</f>
        <v/>
      </c>
      <c r="O22" s="20" t="str">
        <f aca="false">IF($A22="","",INDEX(Profiles!$E$2:$E$100,MATCH($M22,Profiles!$A$2:$A$100,0)))</f>
        <v/>
      </c>
      <c r="P22" s="21" t="str">
        <f aca="false">IF($L22&lt;&gt;"Planned","",$K22*$D22*$N22*(1+$O22))</f>
        <v/>
      </c>
      <c r="Q22" s="21" t="str">
        <f aca="false">IF($L22&lt;&gt;"Planned","",$K22*$D22)</f>
        <v/>
      </c>
      <c r="R22" s="21" t="str">
        <f aca="false">IF($L22&lt;&gt;"Planned","",MAX(N($E22),$K22*$D22*$N22,$K22*N($G22)))</f>
        <v/>
      </c>
      <c r="S22" s="21" t="str">
        <f aca="false">IF($L22&lt;&gt;"Planned","",$P22)</f>
        <v/>
      </c>
      <c r="T22" s="21" t="str">
        <f aca="false">IF($L22&lt;&gt;"Planned","",$P22+$Q22)</f>
        <v/>
      </c>
      <c r="U22" s="21" t="str">
        <f aca="false">IF($L22&lt;&gt;"Planned","",$T22+$R22)</f>
        <v/>
      </c>
      <c r="V22" s="8" t="str">
        <f aca="false">IF($A22="","",SUMIFS('Open supply'!$C:$C,'Open supply'!$A:$A,$AF22))</f>
        <v/>
      </c>
      <c r="W22" s="8" t="str">
        <f aca="false">IF($A22="","",SUMIFS('Open supply'!$C:$C,'Open supply'!$A:$A,$AF22,'Open supply'!$B:$B,"&lt;"&amp;PlanDate))</f>
        <v/>
      </c>
      <c r="X22" s="8" t="str">
        <f aca="false">IF($A22="","",SUMIFS('Open demand'!$G:$G,'Open demand'!$A:$A,$AF22))</f>
        <v/>
      </c>
      <c r="Y22" s="8" t="str">
        <f aca="false">IF($L22&lt;&gt;"Planned","",N($H22)+$V22-$X22)</f>
        <v/>
      </c>
      <c r="Z22" s="19" t="str">
        <f aca="false">IF($L22&lt;&gt;"Planned","",IF($Y22&lt;=$S22,"Red",IF($Y22&lt;=$T22,"Yellow",IF($Y22&lt;=$U22,"Green","Above green"))))</f>
        <v/>
      </c>
      <c r="AA22" s="22" t="str">
        <f aca="false">IF(OR($L22&lt;&gt;"Planned",N($U22)&lt;=0),"",$Y22/$U22)</f>
        <v/>
      </c>
      <c r="AB22" s="8" t="str">
        <f aca="false">IF($L22&lt;&gt;"Planned","",IF($Y22&lt;=$T22,ROUNDUP(MAX($U22-$Y22,N($E22))/IF(N($F22)&gt;0,$F22,1)-0.000000001,0)*IF(N($F22)&gt;0,$F22,1),""))</f>
        <v/>
      </c>
      <c r="AC22" s="23" t="str">
        <f aca="false">IF(N($AB22)&gt;0,PlanDate+ROUNDUP($D22,0),"")</f>
        <v/>
      </c>
      <c r="AD22" s="19" t="str">
        <f aca="false">IF($L22&lt;&gt;"Planned","",IF(N($H22)&lt;=0,"Stockout",IF(N($H22)&lt;$S22*0.5,"Critical",IF(N($H22)&lt;=$S22,"Low",IF(N($H22)&gt;$U22,"Over top of green","OK")))))</f>
        <v/>
      </c>
      <c r="AE22" s="8" t="str">
        <f aca="false">IF($A22="","",$A22&amp;"")</f>
        <v/>
      </c>
      <c r="AF22" s="8" t="str">
        <f aca="false">IF($A22="","",SUBSTITUTE(SUBSTITUTE(SUBSTITUTE($A22&amp;"","~","~~"),"*","~*"),"?","~?"))</f>
        <v/>
      </c>
    </row>
    <row r="23" customFormat="false" ht="15" hidden="false" customHeight="false" outlineLevel="0" collapsed="false">
      <c r="A23" s="11"/>
      <c r="B23" s="11"/>
      <c r="C23" s="11"/>
      <c r="D23" s="16"/>
      <c r="E23" s="11"/>
      <c r="F23" s="11"/>
      <c r="G23" s="9"/>
      <c r="H23" s="11"/>
      <c r="I23" s="17"/>
      <c r="J23" s="18" t="str">
        <f aca="false">IF($A23="","",IF(COUNT(Usage!$C:$C)=0,"",MAX(0,SUMIFS(Usage!$C:$C,Usage!$A:$A,$AF23,Usage!$B:$B,"&gt;="&amp;(PlanDate-AduWindow),Usage!$B:$B,"&lt;"&amp;PlanDate))/AduWindow))</f>
        <v/>
      </c>
      <c r="K23" s="18" t="str">
        <f aca="false">IF($A23="","",IF(AND(ISNUMBER($I23),N($I23)&gt;=0),$I23,$J23))</f>
        <v/>
      </c>
      <c r="L23" s="19" t="str">
        <f aca="false">IF($A23="","",IF($K23="","Needs ADU",IF($K23&lt;=0,"No recent demand",IF(N($D23)&lt;=0,"Needs lead time","Planned"))))</f>
        <v/>
      </c>
      <c r="M23" s="8" t="str">
        <f aca="false">IF($A23="","",IF(ISNUMBER(MATCH($C23,Profiles!$A$2:$A$100,0)),$C23,DefaultProfile))</f>
        <v/>
      </c>
      <c r="N23" s="20" t="str">
        <f aca="false">IF($A23="","",INDEX(Profiles!$D$2:$D$100,MATCH($M23,Profiles!$A$2:$A$100,0)))</f>
        <v/>
      </c>
      <c r="O23" s="20" t="str">
        <f aca="false">IF($A23="","",INDEX(Profiles!$E$2:$E$100,MATCH($M23,Profiles!$A$2:$A$100,0)))</f>
        <v/>
      </c>
      <c r="P23" s="21" t="str">
        <f aca="false">IF($L23&lt;&gt;"Planned","",$K23*$D23*$N23*(1+$O23))</f>
        <v/>
      </c>
      <c r="Q23" s="21" t="str">
        <f aca="false">IF($L23&lt;&gt;"Planned","",$K23*$D23)</f>
        <v/>
      </c>
      <c r="R23" s="21" t="str">
        <f aca="false">IF($L23&lt;&gt;"Planned","",MAX(N($E23),$K23*$D23*$N23,$K23*N($G23)))</f>
        <v/>
      </c>
      <c r="S23" s="21" t="str">
        <f aca="false">IF($L23&lt;&gt;"Planned","",$P23)</f>
        <v/>
      </c>
      <c r="T23" s="21" t="str">
        <f aca="false">IF($L23&lt;&gt;"Planned","",$P23+$Q23)</f>
        <v/>
      </c>
      <c r="U23" s="21" t="str">
        <f aca="false">IF($L23&lt;&gt;"Planned","",$T23+$R23)</f>
        <v/>
      </c>
      <c r="V23" s="8" t="str">
        <f aca="false">IF($A23="","",SUMIFS('Open supply'!$C:$C,'Open supply'!$A:$A,$AF23))</f>
        <v/>
      </c>
      <c r="W23" s="8" t="str">
        <f aca="false">IF($A23="","",SUMIFS('Open supply'!$C:$C,'Open supply'!$A:$A,$AF23,'Open supply'!$B:$B,"&lt;"&amp;PlanDate))</f>
        <v/>
      </c>
      <c r="X23" s="8" t="str">
        <f aca="false">IF($A23="","",SUMIFS('Open demand'!$G:$G,'Open demand'!$A:$A,$AF23))</f>
        <v/>
      </c>
      <c r="Y23" s="8" t="str">
        <f aca="false">IF($L23&lt;&gt;"Planned","",N($H23)+$V23-$X23)</f>
        <v/>
      </c>
      <c r="Z23" s="19" t="str">
        <f aca="false">IF($L23&lt;&gt;"Planned","",IF($Y23&lt;=$S23,"Red",IF($Y23&lt;=$T23,"Yellow",IF($Y23&lt;=$U23,"Green","Above green"))))</f>
        <v/>
      </c>
      <c r="AA23" s="22" t="str">
        <f aca="false">IF(OR($L23&lt;&gt;"Planned",N($U23)&lt;=0),"",$Y23/$U23)</f>
        <v/>
      </c>
      <c r="AB23" s="8" t="str">
        <f aca="false">IF($L23&lt;&gt;"Planned","",IF($Y23&lt;=$T23,ROUNDUP(MAX($U23-$Y23,N($E23))/IF(N($F23)&gt;0,$F23,1)-0.000000001,0)*IF(N($F23)&gt;0,$F23,1),""))</f>
        <v/>
      </c>
      <c r="AC23" s="23" t="str">
        <f aca="false">IF(N($AB23)&gt;0,PlanDate+ROUNDUP($D23,0),"")</f>
        <v/>
      </c>
      <c r="AD23" s="19" t="str">
        <f aca="false">IF($L23&lt;&gt;"Planned","",IF(N($H23)&lt;=0,"Stockout",IF(N($H23)&lt;$S23*0.5,"Critical",IF(N($H23)&lt;=$S23,"Low",IF(N($H23)&gt;$U23,"Over top of green","OK")))))</f>
        <v/>
      </c>
      <c r="AE23" s="8" t="str">
        <f aca="false">IF($A23="","",$A23&amp;"")</f>
        <v/>
      </c>
      <c r="AF23" s="8" t="str">
        <f aca="false">IF($A23="","",SUBSTITUTE(SUBSTITUTE(SUBSTITUTE($A23&amp;"","~","~~"),"*","~*"),"?","~?"))</f>
        <v/>
      </c>
    </row>
    <row r="24" customFormat="false" ht="15" hidden="false" customHeight="false" outlineLevel="0" collapsed="false">
      <c r="A24" s="11"/>
      <c r="B24" s="11"/>
      <c r="C24" s="11"/>
      <c r="D24" s="16"/>
      <c r="E24" s="11"/>
      <c r="F24" s="11"/>
      <c r="G24" s="9"/>
      <c r="H24" s="11"/>
      <c r="I24" s="17"/>
      <c r="J24" s="18" t="str">
        <f aca="false">IF($A24="","",IF(COUNT(Usage!$C:$C)=0,"",MAX(0,SUMIFS(Usage!$C:$C,Usage!$A:$A,$AF24,Usage!$B:$B,"&gt;="&amp;(PlanDate-AduWindow),Usage!$B:$B,"&lt;"&amp;PlanDate))/AduWindow))</f>
        <v/>
      </c>
      <c r="K24" s="18" t="str">
        <f aca="false">IF($A24="","",IF(AND(ISNUMBER($I24),N($I24)&gt;=0),$I24,$J24))</f>
        <v/>
      </c>
      <c r="L24" s="19" t="str">
        <f aca="false">IF($A24="","",IF($K24="","Needs ADU",IF($K24&lt;=0,"No recent demand",IF(N($D24)&lt;=0,"Needs lead time","Planned"))))</f>
        <v/>
      </c>
      <c r="M24" s="8" t="str">
        <f aca="false">IF($A24="","",IF(ISNUMBER(MATCH($C24,Profiles!$A$2:$A$100,0)),$C24,DefaultProfile))</f>
        <v/>
      </c>
      <c r="N24" s="20" t="str">
        <f aca="false">IF($A24="","",INDEX(Profiles!$D$2:$D$100,MATCH($M24,Profiles!$A$2:$A$100,0)))</f>
        <v/>
      </c>
      <c r="O24" s="20" t="str">
        <f aca="false">IF($A24="","",INDEX(Profiles!$E$2:$E$100,MATCH($M24,Profiles!$A$2:$A$100,0)))</f>
        <v/>
      </c>
      <c r="P24" s="21" t="str">
        <f aca="false">IF($L24&lt;&gt;"Planned","",$K24*$D24*$N24*(1+$O24))</f>
        <v/>
      </c>
      <c r="Q24" s="21" t="str">
        <f aca="false">IF($L24&lt;&gt;"Planned","",$K24*$D24)</f>
        <v/>
      </c>
      <c r="R24" s="21" t="str">
        <f aca="false">IF($L24&lt;&gt;"Planned","",MAX(N($E24),$K24*$D24*$N24,$K24*N($G24)))</f>
        <v/>
      </c>
      <c r="S24" s="21" t="str">
        <f aca="false">IF($L24&lt;&gt;"Planned","",$P24)</f>
        <v/>
      </c>
      <c r="T24" s="21" t="str">
        <f aca="false">IF($L24&lt;&gt;"Planned","",$P24+$Q24)</f>
        <v/>
      </c>
      <c r="U24" s="21" t="str">
        <f aca="false">IF($L24&lt;&gt;"Planned","",$T24+$R24)</f>
        <v/>
      </c>
      <c r="V24" s="8" t="str">
        <f aca="false">IF($A24="","",SUMIFS('Open supply'!$C:$C,'Open supply'!$A:$A,$AF24))</f>
        <v/>
      </c>
      <c r="W24" s="8" t="str">
        <f aca="false">IF($A24="","",SUMIFS('Open supply'!$C:$C,'Open supply'!$A:$A,$AF24,'Open supply'!$B:$B,"&lt;"&amp;PlanDate))</f>
        <v/>
      </c>
      <c r="X24" s="8" t="str">
        <f aca="false">IF($A24="","",SUMIFS('Open demand'!$G:$G,'Open demand'!$A:$A,$AF24))</f>
        <v/>
      </c>
      <c r="Y24" s="8" t="str">
        <f aca="false">IF($L24&lt;&gt;"Planned","",N($H24)+$V24-$X24)</f>
        <v/>
      </c>
      <c r="Z24" s="19" t="str">
        <f aca="false">IF($L24&lt;&gt;"Planned","",IF($Y24&lt;=$S24,"Red",IF($Y24&lt;=$T24,"Yellow",IF($Y24&lt;=$U24,"Green","Above green"))))</f>
        <v/>
      </c>
      <c r="AA24" s="22" t="str">
        <f aca="false">IF(OR($L24&lt;&gt;"Planned",N($U24)&lt;=0),"",$Y24/$U24)</f>
        <v/>
      </c>
      <c r="AB24" s="8" t="str">
        <f aca="false">IF($L24&lt;&gt;"Planned","",IF($Y24&lt;=$T24,ROUNDUP(MAX($U24-$Y24,N($E24))/IF(N($F24)&gt;0,$F24,1)-0.000000001,0)*IF(N($F24)&gt;0,$F24,1),""))</f>
        <v/>
      </c>
      <c r="AC24" s="23" t="str">
        <f aca="false">IF(N($AB24)&gt;0,PlanDate+ROUNDUP($D24,0),"")</f>
        <v/>
      </c>
      <c r="AD24" s="19" t="str">
        <f aca="false">IF($L24&lt;&gt;"Planned","",IF(N($H24)&lt;=0,"Stockout",IF(N($H24)&lt;$S24*0.5,"Critical",IF(N($H24)&lt;=$S24,"Low",IF(N($H24)&gt;$U24,"Over top of green","OK")))))</f>
        <v/>
      </c>
      <c r="AE24" s="8" t="str">
        <f aca="false">IF($A24="","",$A24&amp;"")</f>
        <v/>
      </c>
      <c r="AF24" s="8" t="str">
        <f aca="false">IF($A24="","",SUBSTITUTE(SUBSTITUTE(SUBSTITUTE($A24&amp;"","~","~~"),"*","~*"),"?","~?"))</f>
        <v/>
      </c>
    </row>
    <row r="25" customFormat="false" ht="15" hidden="false" customHeight="false" outlineLevel="0" collapsed="false">
      <c r="A25" s="11"/>
      <c r="B25" s="11"/>
      <c r="C25" s="11"/>
      <c r="D25" s="16"/>
      <c r="E25" s="11"/>
      <c r="F25" s="11"/>
      <c r="G25" s="9"/>
      <c r="H25" s="11"/>
      <c r="I25" s="17"/>
      <c r="J25" s="18" t="str">
        <f aca="false">IF($A25="","",IF(COUNT(Usage!$C:$C)=0,"",MAX(0,SUMIFS(Usage!$C:$C,Usage!$A:$A,$AF25,Usage!$B:$B,"&gt;="&amp;(PlanDate-AduWindow),Usage!$B:$B,"&lt;"&amp;PlanDate))/AduWindow))</f>
        <v/>
      </c>
      <c r="K25" s="18" t="str">
        <f aca="false">IF($A25="","",IF(AND(ISNUMBER($I25),N($I25)&gt;=0),$I25,$J25))</f>
        <v/>
      </c>
      <c r="L25" s="19" t="str">
        <f aca="false">IF($A25="","",IF($K25="","Needs ADU",IF($K25&lt;=0,"No recent demand",IF(N($D25)&lt;=0,"Needs lead time","Planned"))))</f>
        <v/>
      </c>
      <c r="M25" s="8" t="str">
        <f aca="false">IF($A25="","",IF(ISNUMBER(MATCH($C25,Profiles!$A$2:$A$100,0)),$C25,DefaultProfile))</f>
        <v/>
      </c>
      <c r="N25" s="20" t="str">
        <f aca="false">IF($A25="","",INDEX(Profiles!$D$2:$D$100,MATCH($M25,Profiles!$A$2:$A$100,0)))</f>
        <v/>
      </c>
      <c r="O25" s="20" t="str">
        <f aca="false">IF($A25="","",INDEX(Profiles!$E$2:$E$100,MATCH($M25,Profiles!$A$2:$A$100,0)))</f>
        <v/>
      </c>
      <c r="P25" s="21" t="str">
        <f aca="false">IF($L25&lt;&gt;"Planned","",$K25*$D25*$N25*(1+$O25))</f>
        <v/>
      </c>
      <c r="Q25" s="21" t="str">
        <f aca="false">IF($L25&lt;&gt;"Planned","",$K25*$D25)</f>
        <v/>
      </c>
      <c r="R25" s="21" t="str">
        <f aca="false">IF($L25&lt;&gt;"Planned","",MAX(N($E25),$K25*$D25*$N25,$K25*N($G25)))</f>
        <v/>
      </c>
      <c r="S25" s="21" t="str">
        <f aca="false">IF($L25&lt;&gt;"Planned","",$P25)</f>
        <v/>
      </c>
      <c r="T25" s="21" t="str">
        <f aca="false">IF($L25&lt;&gt;"Planned","",$P25+$Q25)</f>
        <v/>
      </c>
      <c r="U25" s="21" t="str">
        <f aca="false">IF($L25&lt;&gt;"Planned","",$T25+$R25)</f>
        <v/>
      </c>
      <c r="V25" s="8" t="str">
        <f aca="false">IF($A25="","",SUMIFS('Open supply'!$C:$C,'Open supply'!$A:$A,$AF25))</f>
        <v/>
      </c>
      <c r="W25" s="8" t="str">
        <f aca="false">IF($A25="","",SUMIFS('Open supply'!$C:$C,'Open supply'!$A:$A,$AF25,'Open supply'!$B:$B,"&lt;"&amp;PlanDate))</f>
        <v/>
      </c>
      <c r="X25" s="8" t="str">
        <f aca="false">IF($A25="","",SUMIFS('Open demand'!$G:$G,'Open demand'!$A:$A,$AF25))</f>
        <v/>
      </c>
      <c r="Y25" s="8" t="str">
        <f aca="false">IF($L25&lt;&gt;"Planned","",N($H25)+$V25-$X25)</f>
        <v/>
      </c>
      <c r="Z25" s="19" t="str">
        <f aca="false">IF($L25&lt;&gt;"Planned","",IF($Y25&lt;=$S25,"Red",IF($Y25&lt;=$T25,"Yellow",IF($Y25&lt;=$U25,"Green","Above green"))))</f>
        <v/>
      </c>
      <c r="AA25" s="22" t="str">
        <f aca="false">IF(OR($L25&lt;&gt;"Planned",N($U25)&lt;=0),"",$Y25/$U25)</f>
        <v/>
      </c>
      <c r="AB25" s="8" t="str">
        <f aca="false">IF($L25&lt;&gt;"Planned","",IF($Y25&lt;=$T25,ROUNDUP(MAX($U25-$Y25,N($E25))/IF(N($F25)&gt;0,$F25,1)-0.000000001,0)*IF(N($F25)&gt;0,$F25,1),""))</f>
        <v/>
      </c>
      <c r="AC25" s="23" t="str">
        <f aca="false">IF(N($AB25)&gt;0,PlanDate+ROUNDUP($D25,0),"")</f>
        <v/>
      </c>
      <c r="AD25" s="19" t="str">
        <f aca="false">IF($L25&lt;&gt;"Planned","",IF(N($H25)&lt;=0,"Stockout",IF(N($H25)&lt;$S25*0.5,"Critical",IF(N($H25)&lt;=$S25,"Low",IF(N($H25)&gt;$U25,"Over top of green","OK")))))</f>
        <v/>
      </c>
      <c r="AE25" s="8" t="str">
        <f aca="false">IF($A25="","",$A25&amp;"")</f>
        <v/>
      </c>
      <c r="AF25" s="8" t="str">
        <f aca="false">IF($A25="","",SUBSTITUTE(SUBSTITUTE(SUBSTITUTE($A25&amp;"","~","~~"),"*","~*"),"?","~?"))</f>
        <v/>
      </c>
    </row>
    <row r="26" customFormat="false" ht="15" hidden="false" customHeight="false" outlineLevel="0" collapsed="false">
      <c r="A26" s="11"/>
      <c r="B26" s="11"/>
      <c r="C26" s="11"/>
      <c r="D26" s="16"/>
      <c r="E26" s="11"/>
      <c r="F26" s="11"/>
      <c r="G26" s="9"/>
      <c r="H26" s="11"/>
      <c r="I26" s="17"/>
      <c r="J26" s="18" t="str">
        <f aca="false">IF($A26="","",IF(COUNT(Usage!$C:$C)=0,"",MAX(0,SUMIFS(Usage!$C:$C,Usage!$A:$A,$AF26,Usage!$B:$B,"&gt;="&amp;(PlanDate-AduWindow),Usage!$B:$B,"&lt;"&amp;PlanDate))/AduWindow))</f>
        <v/>
      </c>
      <c r="K26" s="18" t="str">
        <f aca="false">IF($A26="","",IF(AND(ISNUMBER($I26),N($I26)&gt;=0),$I26,$J26))</f>
        <v/>
      </c>
      <c r="L26" s="19" t="str">
        <f aca="false">IF($A26="","",IF($K26="","Needs ADU",IF($K26&lt;=0,"No recent demand",IF(N($D26)&lt;=0,"Needs lead time","Planned"))))</f>
        <v/>
      </c>
      <c r="M26" s="8" t="str">
        <f aca="false">IF($A26="","",IF(ISNUMBER(MATCH($C26,Profiles!$A$2:$A$100,0)),$C26,DefaultProfile))</f>
        <v/>
      </c>
      <c r="N26" s="20" t="str">
        <f aca="false">IF($A26="","",INDEX(Profiles!$D$2:$D$100,MATCH($M26,Profiles!$A$2:$A$100,0)))</f>
        <v/>
      </c>
      <c r="O26" s="20" t="str">
        <f aca="false">IF($A26="","",INDEX(Profiles!$E$2:$E$100,MATCH($M26,Profiles!$A$2:$A$100,0)))</f>
        <v/>
      </c>
      <c r="P26" s="21" t="str">
        <f aca="false">IF($L26&lt;&gt;"Planned","",$K26*$D26*$N26*(1+$O26))</f>
        <v/>
      </c>
      <c r="Q26" s="21" t="str">
        <f aca="false">IF($L26&lt;&gt;"Planned","",$K26*$D26)</f>
        <v/>
      </c>
      <c r="R26" s="21" t="str">
        <f aca="false">IF($L26&lt;&gt;"Planned","",MAX(N($E26),$K26*$D26*$N26,$K26*N($G26)))</f>
        <v/>
      </c>
      <c r="S26" s="21" t="str">
        <f aca="false">IF($L26&lt;&gt;"Planned","",$P26)</f>
        <v/>
      </c>
      <c r="T26" s="21" t="str">
        <f aca="false">IF($L26&lt;&gt;"Planned","",$P26+$Q26)</f>
        <v/>
      </c>
      <c r="U26" s="21" t="str">
        <f aca="false">IF($L26&lt;&gt;"Planned","",$T26+$R26)</f>
        <v/>
      </c>
      <c r="V26" s="8" t="str">
        <f aca="false">IF($A26="","",SUMIFS('Open supply'!$C:$C,'Open supply'!$A:$A,$AF26))</f>
        <v/>
      </c>
      <c r="W26" s="8" t="str">
        <f aca="false">IF($A26="","",SUMIFS('Open supply'!$C:$C,'Open supply'!$A:$A,$AF26,'Open supply'!$B:$B,"&lt;"&amp;PlanDate))</f>
        <v/>
      </c>
      <c r="X26" s="8" t="str">
        <f aca="false">IF($A26="","",SUMIFS('Open demand'!$G:$G,'Open demand'!$A:$A,$AF26))</f>
        <v/>
      </c>
      <c r="Y26" s="8" t="str">
        <f aca="false">IF($L26&lt;&gt;"Planned","",N($H26)+$V26-$X26)</f>
        <v/>
      </c>
      <c r="Z26" s="19" t="str">
        <f aca="false">IF($L26&lt;&gt;"Planned","",IF($Y26&lt;=$S26,"Red",IF($Y26&lt;=$T26,"Yellow",IF($Y26&lt;=$U26,"Green","Above green"))))</f>
        <v/>
      </c>
      <c r="AA26" s="22" t="str">
        <f aca="false">IF(OR($L26&lt;&gt;"Planned",N($U26)&lt;=0),"",$Y26/$U26)</f>
        <v/>
      </c>
      <c r="AB26" s="8" t="str">
        <f aca="false">IF($L26&lt;&gt;"Planned","",IF($Y26&lt;=$T26,ROUNDUP(MAX($U26-$Y26,N($E26))/IF(N($F26)&gt;0,$F26,1)-0.000000001,0)*IF(N($F26)&gt;0,$F26,1),""))</f>
        <v/>
      </c>
      <c r="AC26" s="23" t="str">
        <f aca="false">IF(N($AB26)&gt;0,PlanDate+ROUNDUP($D26,0),"")</f>
        <v/>
      </c>
      <c r="AD26" s="19" t="str">
        <f aca="false">IF($L26&lt;&gt;"Planned","",IF(N($H26)&lt;=0,"Stockout",IF(N($H26)&lt;$S26*0.5,"Critical",IF(N($H26)&lt;=$S26,"Low",IF(N($H26)&gt;$U26,"Over top of green","OK")))))</f>
        <v/>
      </c>
      <c r="AE26" s="8" t="str">
        <f aca="false">IF($A26="","",$A26&amp;"")</f>
        <v/>
      </c>
      <c r="AF26" s="8" t="str">
        <f aca="false">IF($A26="","",SUBSTITUTE(SUBSTITUTE(SUBSTITUTE($A26&amp;"","~","~~"),"*","~*"),"?","~?"))</f>
        <v/>
      </c>
    </row>
    <row r="27" customFormat="false" ht="15" hidden="false" customHeight="false" outlineLevel="0" collapsed="false">
      <c r="A27" s="11"/>
      <c r="B27" s="11"/>
      <c r="C27" s="11"/>
      <c r="D27" s="16"/>
      <c r="E27" s="11"/>
      <c r="F27" s="11"/>
      <c r="G27" s="9"/>
      <c r="H27" s="11"/>
      <c r="I27" s="17"/>
      <c r="J27" s="18" t="str">
        <f aca="false">IF($A27="","",IF(COUNT(Usage!$C:$C)=0,"",MAX(0,SUMIFS(Usage!$C:$C,Usage!$A:$A,$AF27,Usage!$B:$B,"&gt;="&amp;(PlanDate-AduWindow),Usage!$B:$B,"&lt;"&amp;PlanDate))/AduWindow))</f>
        <v/>
      </c>
      <c r="K27" s="18" t="str">
        <f aca="false">IF($A27="","",IF(AND(ISNUMBER($I27),N($I27)&gt;=0),$I27,$J27))</f>
        <v/>
      </c>
      <c r="L27" s="19" t="str">
        <f aca="false">IF($A27="","",IF($K27="","Needs ADU",IF($K27&lt;=0,"No recent demand",IF(N($D27)&lt;=0,"Needs lead time","Planned"))))</f>
        <v/>
      </c>
      <c r="M27" s="8" t="str">
        <f aca="false">IF($A27="","",IF(ISNUMBER(MATCH($C27,Profiles!$A$2:$A$100,0)),$C27,DefaultProfile))</f>
        <v/>
      </c>
      <c r="N27" s="20" t="str">
        <f aca="false">IF($A27="","",INDEX(Profiles!$D$2:$D$100,MATCH($M27,Profiles!$A$2:$A$100,0)))</f>
        <v/>
      </c>
      <c r="O27" s="20" t="str">
        <f aca="false">IF($A27="","",INDEX(Profiles!$E$2:$E$100,MATCH($M27,Profiles!$A$2:$A$100,0)))</f>
        <v/>
      </c>
      <c r="P27" s="21" t="str">
        <f aca="false">IF($L27&lt;&gt;"Planned","",$K27*$D27*$N27*(1+$O27))</f>
        <v/>
      </c>
      <c r="Q27" s="21" t="str">
        <f aca="false">IF($L27&lt;&gt;"Planned","",$K27*$D27)</f>
        <v/>
      </c>
      <c r="R27" s="21" t="str">
        <f aca="false">IF($L27&lt;&gt;"Planned","",MAX(N($E27),$K27*$D27*$N27,$K27*N($G27)))</f>
        <v/>
      </c>
      <c r="S27" s="21" t="str">
        <f aca="false">IF($L27&lt;&gt;"Planned","",$P27)</f>
        <v/>
      </c>
      <c r="T27" s="21" t="str">
        <f aca="false">IF($L27&lt;&gt;"Planned","",$P27+$Q27)</f>
        <v/>
      </c>
      <c r="U27" s="21" t="str">
        <f aca="false">IF($L27&lt;&gt;"Planned","",$T27+$R27)</f>
        <v/>
      </c>
      <c r="V27" s="8" t="str">
        <f aca="false">IF($A27="","",SUMIFS('Open supply'!$C:$C,'Open supply'!$A:$A,$AF27))</f>
        <v/>
      </c>
      <c r="W27" s="8" t="str">
        <f aca="false">IF($A27="","",SUMIFS('Open supply'!$C:$C,'Open supply'!$A:$A,$AF27,'Open supply'!$B:$B,"&lt;"&amp;PlanDate))</f>
        <v/>
      </c>
      <c r="X27" s="8" t="str">
        <f aca="false">IF($A27="","",SUMIFS('Open demand'!$G:$G,'Open demand'!$A:$A,$AF27))</f>
        <v/>
      </c>
      <c r="Y27" s="8" t="str">
        <f aca="false">IF($L27&lt;&gt;"Planned","",N($H27)+$V27-$X27)</f>
        <v/>
      </c>
      <c r="Z27" s="19" t="str">
        <f aca="false">IF($L27&lt;&gt;"Planned","",IF($Y27&lt;=$S27,"Red",IF($Y27&lt;=$T27,"Yellow",IF($Y27&lt;=$U27,"Green","Above green"))))</f>
        <v/>
      </c>
      <c r="AA27" s="22" t="str">
        <f aca="false">IF(OR($L27&lt;&gt;"Planned",N($U27)&lt;=0),"",$Y27/$U27)</f>
        <v/>
      </c>
      <c r="AB27" s="8" t="str">
        <f aca="false">IF($L27&lt;&gt;"Planned","",IF($Y27&lt;=$T27,ROUNDUP(MAX($U27-$Y27,N($E27))/IF(N($F27)&gt;0,$F27,1)-0.000000001,0)*IF(N($F27)&gt;0,$F27,1),""))</f>
        <v/>
      </c>
      <c r="AC27" s="23" t="str">
        <f aca="false">IF(N($AB27)&gt;0,PlanDate+ROUNDUP($D27,0),"")</f>
        <v/>
      </c>
      <c r="AD27" s="19" t="str">
        <f aca="false">IF($L27&lt;&gt;"Planned","",IF(N($H27)&lt;=0,"Stockout",IF(N($H27)&lt;$S27*0.5,"Critical",IF(N($H27)&lt;=$S27,"Low",IF(N($H27)&gt;$U27,"Over top of green","OK")))))</f>
        <v/>
      </c>
      <c r="AE27" s="8" t="str">
        <f aca="false">IF($A27="","",$A27&amp;"")</f>
        <v/>
      </c>
      <c r="AF27" s="8" t="str">
        <f aca="false">IF($A27="","",SUBSTITUTE(SUBSTITUTE(SUBSTITUTE($A27&amp;"","~","~~"),"*","~*"),"?","~?"))</f>
        <v/>
      </c>
    </row>
    <row r="28" customFormat="false" ht="15" hidden="false" customHeight="false" outlineLevel="0" collapsed="false">
      <c r="A28" s="11"/>
      <c r="B28" s="11"/>
      <c r="C28" s="11"/>
      <c r="D28" s="16"/>
      <c r="E28" s="11"/>
      <c r="F28" s="11"/>
      <c r="G28" s="9"/>
      <c r="H28" s="11"/>
      <c r="I28" s="17"/>
      <c r="J28" s="18" t="str">
        <f aca="false">IF($A28="","",IF(COUNT(Usage!$C:$C)=0,"",MAX(0,SUMIFS(Usage!$C:$C,Usage!$A:$A,$AF28,Usage!$B:$B,"&gt;="&amp;(PlanDate-AduWindow),Usage!$B:$B,"&lt;"&amp;PlanDate))/AduWindow))</f>
        <v/>
      </c>
      <c r="K28" s="18" t="str">
        <f aca="false">IF($A28="","",IF(AND(ISNUMBER($I28),N($I28)&gt;=0),$I28,$J28))</f>
        <v/>
      </c>
      <c r="L28" s="19" t="str">
        <f aca="false">IF($A28="","",IF($K28="","Needs ADU",IF($K28&lt;=0,"No recent demand",IF(N($D28)&lt;=0,"Needs lead time","Planned"))))</f>
        <v/>
      </c>
      <c r="M28" s="8" t="str">
        <f aca="false">IF($A28="","",IF(ISNUMBER(MATCH($C28,Profiles!$A$2:$A$100,0)),$C28,DefaultProfile))</f>
        <v/>
      </c>
      <c r="N28" s="20" t="str">
        <f aca="false">IF($A28="","",INDEX(Profiles!$D$2:$D$100,MATCH($M28,Profiles!$A$2:$A$100,0)))</f>
        <v/>
      </c>
      <c r="O28" s="20" t="str">
        <f aca="false">IF($A28="","",INDEX(Profiles!$E$2:$E$100,MATCH($M28,Profiles!$A$2:$A$100,0)))</f>
        <v/>
      </c>
      <c r="P28" s="21" t="str">
        <f aca="false">IF($L28&lt;&gt;"Planned","",$K28*$D28*$N28*(1+$O28))</f>
        <v/>
      </c>
      <c r="Q28" s="21" t="str">
        <f aca="false">IF($L28&lt;&gt;"Planned","",$K28*$D28)</f>
        <v/>
      </c>
      <c r="R28" s="21" t="str">
        <f aca="false">IF($L28&lt;&gt;"Planned","",MAX(N($E28),$K28*$D28*$N28,$K28*N($G28)))</f>
        <v/>
      </c>
      <c r="S28" s="21" t="str">
        <f aca="false">IF($L28&lt;&gt;"Planned","",$P28)</f>
        <v/>
      </c>
      <c r="T28" s="21" t="str">
        <f aca="false">IF($L28&lt;&gt;"Planned","",$P28+$Q28)</f>
        <v/>
      </c>
      <c r="U28" s="21" t="str">
        <f aca="false">IF($L28&lt;&gt;"Planned","",$T28+$R28)</f>
        <v/>
      </c>
      <c r="V28" s="8" t="str">
        <f aca="false">IF($A28="","",SUMIFS('Open supply'!$C:$C,'Open supply'!$A:$A,$AF28))</f>
        <v/>
      </c>
      <c r="W28" s="8" t="str">
        <f aca="false">IF($A28="","",SUMIFS('Open supply'!$C:$C,'Open supply'!$A:$A,$AF28,'Open supply'!$B:$B,"&lt;"&amp;PlanDate))</f>
        <v/>
      </c>
      <c r="X28" s="8" t="str">
        <f aca="false">IF($A28="","",SUMIFS('Open demand'!$G:$G,'Open demand'!$A:$A,$AF28))</f>
        <v/>
      </c>
      <c r="Y28" s="8" t="str">
        <f aca="false">IF($L28&lt;&gt;"Planned","",N($H28)+$V28-$X28)</f>
        <v/>
      </c>
      <c r="Z28" s="19" t="str">
        <f aca="false">IF($L28&lt;&gt;"Planned","",IF($Y28&lt;=$S28,"Red",IF($Y28&lt;=$T28,"Yellow",IF($Y28&lt;=$U28,"Green","Above green"))))</f>
        <v/>
      </c>
      <c r="AA28" s="22" t="str">
        <f aca="false">IF(OR($L28&lt;&gt;"Planned",N($U28)&lt;=0),"",$Y28/$U28)</f>
        <v/>
      </c>
      <c r="AB28" s="8" t="str">
        <f aca="false">IF($L28&lt;&gt;"Planned","",IF($Y28&lt;=$T28,ROUNDUP(MAX($U28-$Y28,N($E28))/IF(N($F28)&gt;0,$F28,1)-0.000000001,0)*IF(N($F28)&gt;0,$F28,1),""))</f>
        <v/>
      </c>
      <c r="AC28" s="23" t="str">
        <f aca="false">IF(N($AB28)&gt;0,PlanDate+ROUNDUP($D28,0),"")</f>
        <v/>
      </c>
      <c r="AD28" s="19" t="str">
        <f aca="false">IF($L28&lt;&gt;"Planned","",IF(N($H28)&lt;=0,"Stockout",IF(N($H28)&lt;$S28*0.5,"Critical",IF(N($H28)&lt;=$S28,"Low",IF(N($H28)&gt;$U28,"Over top of green","OK")))))</f>
        <v/>
      </c>
      <c r="AE28" s="8" t="str">
        <f aca="false">IF($A28="","",$A28&amp;"")</f>
        <v/>
      </c>
      <c r="AF28" s="8" t="str">
        <f aca="false">IF($A28="","",SUBSTITUTE(SUBSTITUTE(SUBSTITUTE($A28&amp;"","~","~~"),"*","~*"),"?","~?"))</f>
        <v/>
      </c>
    </row>
    <row r="29" customFormat="false" ht="15" hidden="false" customHeight="false" outlineLevel="0" collapsed="false">
      <c r="A29" s="11"/>
      <c r="B29" s="11"/>
      <c r="C29" s="11"/>
      <c r="D29" s="16"/>
      <c r="E29" s="11"/>
      <c r="F29" s="11"/>
      <c r="G29" s="9"/>
      <c r="H29" s="11"/>
      <c r="I29" s="17"/>
      <c r="J29" s="18" t="str">
        <f aca="false">IF($A29="","",IF(COUNT(Usage!$C:$C)=0,"",MAX(0,SUMIFS(Usage!$C:$C,Usage!$A:$A,$AF29,Usage!$B:$B,"&gt;="&amp;(PlanDate-AduWindow),Usage!$B:$B,"&lt;"&amp;PlanDate))/AduWindow))</f>
        <v/>
      </c>
      <c r="K29" s="18" t="str">
        <f aca="false">IF($A29="","",IF(AND(ISNUMBER($I29),N($I29)&gt;=0),$I29,$J29))</f>
        <v/>
      </c>
      <c r="L29" s="19" t="str">
        <f aca="false">IF($A29="","",IF($K29="","Needs ADU",IF($K29&lt;=0,"No recent demand",IF(N($D29)&lt;=0,"Needs lead time","Planned"))))</f>
        <v/>
      </c>
      <c r="M29" s="8" t="str">
        <f aca="false">IF($A29="","",IF(ISNUMBER(MATCH($C29,Profiles!$A$2:$A$100,0)),$C29,DefaultProfile))</f>
        <v/>
      </c>
      <c r="N29" s="20" t="str">
        <f aca="false">IF($A29="","",INDEX(Profiles!$D$2:$D$100,MATCH($M29,Profiles!$A$2:$A$100,0)))</f>
        <v/>
      </c>
      <c r="O29" s="20" t="str">
        <f aca="false">IF($A29="","",INDEX(Profiles!$E$2:$E$100,MATCH($M29,Profiles!$A$2:$A$100,0)))</f>
        <v/>
      </c>
      <c r="P29" s="21" t="str">
        <f aca="false">IF($L29&lt;&gt;"Planned","",$K29*$D29*$N29*(1+$O29))</f>
        <v/>
      </c>
      <c r="Q29" s="21" t="str">
        <f aca="false">IF($L29&lt;&gt;"Planned","",$K29*$D29)</f>
        <v/>
      </c>
      <c r="R29" s="21" t="str">
        <f aca="false">IF($L29&lt;&gt;"Planned","",MAX(N($E29),$K29*$D29*$N29,$K29*N($G29)))</f>
        <v/>
      </c>
      <c r="S29" s="21" t="str">
        <f aca="false">IF($L29&lt;&gt;"Planned","",$P29)</f>
        <v/>
      </c>
      <c r="T29" s="21" t="str">
        <f aca="false">IF($L29&lt;&gt;"Planned","",$P29+$Q29)</f>
        <v/>
      </c>
      <c r="U29" s="21" t="str">
        <f aca="false">IF($L29&lt;&gt;"Planned","",$T29+$R29)</f>
        <v/>
      </c>
      <c r="V29" s="8" t="str">
        <f aca="false">IF($A29="","",SUMIFS('Open supply'!$C:$C,'Open supply'!$A:$A,$AF29))</f>
        <v/>
      </c>
      <c r="W29" s="8" t="str">
        <f aca="false">IF($A29="","",SUMIFS('Open supply'!$C:$C,'Open supply'!$A:$A,$AF29,'Open supply'!$B:$B,"&lt;"&amp;PlanDate))</f>
        <v/>
      </c>
      <c r="X29" s="8" t="str">
        <f aca="false">IF($A29="","",SUMIFS('Open demand'!$G:$G,'Open demand'!$A:$A,$AF29))</f>
        <v/>
      </c>
      <c r="Y29" s="8" t="str">
        <f aca="false">IF($L29&lt;&gt;"Planned","",N($H29)+$V29-$X29)</f>
        <v/>
      </c>
      <c r="Z29" s="19" t="str">
        <f aca="false">IF($L29&lt;&gt;"Planned","",IF($Y29&lt;=$S29,"Red",IF($Y29&lt;=$T29,"Yellow",IF($Y29&lt;=$U29,"Green","Above green"))))</f>
        <v/>
      </c>
      <c r="AA29" s="22" t="str">
        <f aca="false">IF(OR($L29&lt;&gt;"Planned",N($U29)&lt;=0),"",$Y29/$U29)</f>
        <v/>
      </c>
      <c r="AB29" s="8" t="str">
        <f aca="false">IF($L29&lt;&gt;"Planned","",IF($Y29&lt;=$T29,ROUNDUP(MAX($U29-$Y29,N($E29))/IF(N($F29)&gt;0,$F29,1)-0.000000001,0)*IF(N($F29)&gt;0,$F29,1),""))</f>
        <v/>
      </c>
      <c r="AC29" s="23" t="str">
        <f aca="false">IF(N($AB29)&gt;0,PlanDate+ROUNDUP($D29,0),"")</f>
        <v/>
      </c>
      <c r="AD29" s="19" t="str">
        <f aca="false">IF($L29&lt;&gt;"Planned","",IF(N($H29)&lt;=0,"Stockout",IF(N($H29)&lt;$S29*0.5,"Critical",IF(N($H29)&lt;=$S29,"Low",IF(N($H29)&gt;$U29,"Over top of green","OK")))))</f>
        <v/>
      </c>
      <c r="AE29" s="8" t="str">
        <f aca="false">IF($A29="","",$A29&amp;"")</f>
        <v/>
      </c>
      <c r="AF29" s="8" t="str">
        <f aca="false">IF($A29="","",SUBSTITUTE(SUBSTITUTE(SUBSTITUTE($A29&amp;"","~","~~"),"*","~*"),"?","~?"))</f>
        <v/>
      </c>
    </row>
    <row r="30" customFormat="false" ht="15" hidden="false" customHeight="false" outlineLevel="0" collapsed="false">
      <c r="A30" s="11"/>
      <c r="B30" s="11"/>
      <c r="C30" s="11"/>
      <c r="D30" s="16"/>
      <c r="E30" s="11"/>
      <c r="F30" s="11"/>
      <c r="G30" s="9"/>
      <c r="H30" s="11"/>
      <c r="I30" s="17"/>
      <c r="J30" s="18" t="str">
        <f aca="false">IF($A30="","",IF(COUNT(Usage!$C:$C)=0,"",MAX(0,SUMIFS(Usage!$C:$C,Usage!$A:$A,$AF30,Usage!$B:$B,"&gt;="&amp;(PlanDate-AduWindow),Usage!$B:$B,"&lt;"&amp;PlanDate))/AduWindow))</f>
        <v/>
      </c>
      <c r="K30" s="18" t="str">
        <f aca="false">IF($A30="","",IF(AND(ISNUMBER($I30),N($I30)&gt;=0),$I30,$J30))</f>
        <v/>
      </c>
      <c r="L30" s="19" t="str">
        <f aca="false">IF($A30="","",IF($K30="","Needs ADU",IF($K30&lt;=0,"No recent demand",IF(N($D30)&lt;=0,"Needs lead time","Planned"))))</f>
        <v/>
      </c>
      <c r="M30" s="8" t="str">
        <f aca="false">IF($A30="","",IF(ISNUMBER(MATCH($C30,Profiles!$A$2:$A$100,0)),$C30,DefaultProfile))</f>
        <v/>
      </c>
      <c r="N30" s="20" t="str">
        <f aca="false">IF($A30="","",INDEX(Profiles!$D$2:$D$100,MATCH($M30,Profiles!$A$2:$A$100,0)))</f>
        <v/>
      </c>
      <c r="O30" s="20" t="str">
        <f aca="false">IF($A30="","",INDEX(Profiles!$E$2:$E$100,MATCH($M30,Profiles!$A$2:$A$100,0)))</f>
        <v/>
      </c>
      <c r="P30" s="21" t="str">
        <f aca="false">IF($L30&lt;&gt;"Planned","",$K30*$D30*$N30*(1+$O30))</f>
        <v/>
      </c>
      <c r="Q30" s="21" t="str">
        <f aca="false">IF($L30&lt;&gt;"Planned","",$K30*$D30)</f>
        <v/>
      </c>
      <c r="R30" s="21" t="str">
        <f aca="false">IF($L30&lt;&gt;"Planned","",MAX(N($E30),$K30*$D30*$N30,$K30*N($G30)))</f>
        <v/>
      </c>
      <c r="S30" s="21" t="str">
        <f aca="false">IF($L30&lt;&gt;"Planned","",$P30)</f>
        <v/>
      </c>
      <c r="T30" s="21" t="str">
        <f aca="false">IF($L30&lt;&gt;"Planned","",$P30+$Q30)</f>
        <v/>
      </c>
      <c r="U30" s="21" t="str">
        <f aca="false">IF($L30&lt;&gt;"Planned","",$T30+$R30)</f>
        <v/>
      </c>
      <c r="V30" s="8" t="str">
        <f aca="false">IF($A30="","",SUMIFS('Open supply'!$C:$C,'Open supply'!$A:$A,$AF30))</f>
        <v/>
      </c>
      <c r="W30" s="8" t="str">
        <f aca="false">IF($A30="","",SUMIFS('Open supply'!$C:$C,'Open supply'!$A:$A,$AF30,'Open supply'!$B:$B,"&lt;"&amp;PlanDate))</f>
        <v/>
      </c>
      <c r="X30" s="8" t="str">
        <f aca="false">IF($A30="","",SUMIFS('Open demand'!$G:$G,'Open demand'!$A:$A,$AF30))</f>
        <v/>
      </c>
      <c r="Y30" s="8" t="str">
        <f aca="false">IF($L30&lt;&gt;"Planned","",N($H30)+$V30-$X30)</f>
        <v/>
      </c>
      <c r="Z30" s="19" t="str">
        <f aca="false">IF($L30&lt;&gt;"Planned","",IF($Y30&lt;=$S30,"Red",IF($Y30&lt;=$T30,"Yellow",IF($Y30&lt;=$U30,"Green","Above green"))))</f>
        <v/>
      </c>
      <c r="AA30" s="22" t="str">
        <f aca="false">IF(OR($L30&lt;&gt;"Planned",N($U30)&lt;=0),"",$Y30/$U30)</f>
        <v/>
      </c>
      <c r="AB30" s="8" t="str">
        <f aca="false">IF($L30&lt;&gt;"Planned","",IF($Y30&lt;=$T30,ROUNDUP(MAX($U30-$Y30,N($E30))/IF(N($F30)&gt;0,$F30,1)-0.000000001,0)*IF(N($F30)&gt;0,$F30,1),""))</f>
        <v/>
      </c>
      <c r="AC30" s="23" t="str">
        <f aca="false">IF(N($AB30)&gt;0,PlanDate+ROUNDUP($D30,0),"")</f>
        <v/>
      </c>
      <c r="AD30" s="19" t="str">
        <f aca="false">IF($L30&lt;&gt;"Planned","",IF(N($H30)&lt;=0,"Stockout",IF(N($H30)&lt;$S30*0.5,"Critical",IF(N($H30)&lt;=$S30,"Low",IF(N($H30)&gt;$U30,"Over top of green","OK")))))</f>
        <v/>
      </c>
      <c r="AE30" s="8" t="str">
        <f aca="false">IF($A30="","",$A30&amp;"")</f>
        <v/>
      </c>
      <c r="AF30" s="8" t="str">
        <f aca="false">IF($A30="","",SUBSTITUTE(SUBSTITUTE(SUBSTITUTE($A30&amp;"","~","~~"),"*","~*"),"?","~?"))</f>
        <v/>
      </c>
    </row>
    <row r="31" customFormat="false" ht="15" hidden="false" customHeight="false" outlineLevel="0" collapsed="false">
      <c r="A31" s="11"/>
      <c r="B31" s="11"/>
      <c r="C31" s="11"/>
      <c r="D31" s="16"/>
      <c r="E31" s="11"/>
      <c r="F31" s="11"/>
      <c r="G31" s="9"/>
      <c r="H31" s="11"/>
      <c r="I31" s="17"/>
      <c r="J31" s="18" t="str">
        <f aca="false">IF($A31="","",IF(COUNT(Usage!$C:$C)=0,"",MAX(0,SUMIFS(Usage!$C:$C,Usage!$A:$A,$AF31,Usage!$B:$B,"&gt;="&amp;(PlanDate-AduWindow),Usage!$B:$B,"&lt;"&amp;PlanDate))/AduWindow))</f>
        <v/>
      </c>
      <c r="K31" s="18" t="str">
        <f aca="false">IF($A31="","",IF(AND(ISNUMBER($I31),N($I31)&gt;=0),$I31,$J31))</f>
        <v/>
      </c>
      <c r="L31" s="19" t="str">
        <f aca="false">IF($A31="","",IF($K31="","Needs ADU",IF($K31&lt;=0,"No recent demand",IF(N($D31)&lt;=0,"Needs lead time","Planned"))))</f>
        <v/>
      </c>
      <c r="M31" s="8" t="str">
        <f aca="false">IF($A31="","",IF(ISNUMBER(MATCH($C31,Profiles!$A$2:$A$100,0)),$C31,DefaultProfile))</f>
        <v/>
      </c>
      <c r="N31" s="20" t="str">
        <f aca="false">IF($A31="","",INDEX(Profiles!$D$2:$D$100,MATCH($M31,Profiles!$A$2:$A$100,0)))</f>
        <v/>
      </c>
      <c r="O31" s="20" t="str">
        <f aca="false">IF($A31="","",INDEX(Profiles!$E$2:$E$100,MATCH($M31,Profiles!$A$2:$A$100,0)))</f>
        <v/>
      </c>
      <c r="P31" s="21" t="str">
        <f aca="false">IF($L31&lt;&gt;"Planned","",$K31*$D31*$N31*(1+$O31))</f>
        <v/>
      </c>
      <c r="Q31" s="21" t="str">
        <f aca="false">IF($L31&lt;&gt;"Planned","",$K31*$D31)</f>
        <v/>
      </c>
      <c r="R31" s="21" t="str">
        <f aca="false">IF($L31&lt;&gt;"Planned","",MAX(N($E31),$K31*$D31*$N31,$K31*N($G31)))</f>
        <v/>
      </c>
      <c r="S31" s="21" t="str">
        <f aca="false">IF($L31&lt;&gt;"Planned","",$P31)</f>
        <v/>
      </c>
      <c r="T31" s="21" t="str">
        <f aca="false">IF($L31&lt;&gt;"Planned","",$P31+$Q31)</f>
        <v/>
      </c>
      <c r="U31" s="21" t="str">
        <f aca="false">IF($L31&lt;&gt;"Planned","",$T31+$R31)</f>
        <v/>
      </c>
      <c r="V31" s="8" t="str">
        <f aca="false">IF($A31="","",SUMIFS('Open supply'!$C:$C,'Open supply'!$A:$A,$AF31))</f>
        <v/>
      </c>
      <c r="W31" s="8" t="str">
        <f aca="false">IF($A31="","",SUMIFS('Open supply'!$C:$C,'Open supply'!$A:$A,$AF31,'Open supply'!$B:$B,"&lt;"&amp;PlanDate))</f>
        <v/>
      </c>
      <c r="X31" s="8" t="str">
        <f aca="false">IF($A31="","",SUMIFS('Open demand'!$G:$G,'Open demand'!$A:$A,$AF31))</f>
        <v/>
      </c>
      <c r="Y31" s="8" t="str">
        <f aca="false">IF($L31&lt;&gt;"Planned","",N($H31)+$V31-$X31)</f>
        <v/>
      </c>
      <c r="Z31" s="19" t="str">
        <f aca="false">IF($L31&lt;&gt;"Planned","",IF($Y31&lt;=$S31,"Red",IF($Y31&lt;=$T31,"Yellow",IF($Y31&lt;=$U31,"Green","Above green"))))</f>
        <v/>
      </c>
      <c r="AA31" s="22" t="str">
        <f aca="false">IF(OR($L31&lt;&gt;"Planned",N($U31)&lt;=0),"",$Y31/$U31)</f>
        <v/>
      </c>
      <c r="AB31" s="8" t="str">
        <f aca="false">IF($L31&lt;&gt;"Planned","",IF($Y31&lt;=$T31,ROUNDUP(MAX($U31-$Y31,N($E31))/IF(N($F31)&gt;0,$F31,1)-0.000000001,0)*IF(N($F31)&gt;0,$F31,1),""))</f>
        <v/>
      </c>
      <c r="AC31" s="23" t="str">
        <f aca="false">IF(N($AB31)&gt;0,PlanDate+ROUNDUP($D31,0),"")</f>
        <v/>
      </c>
      <c r="AD31" s="19" t="str">
        <f aca="false">IF($L31&lt;&gt;"Planned","",IF(N($H31)&lt;=0,"Stockout",IF(N($H31)&lt;$S31*0.5,"Critical",IF(N($H31)&lt;=$S31,"Low",IF(N($H31)&gt;$U31,"Over top of green","OK")))))</f>
        <v/>
      </c>
      <c r="AE31" s="8" t="str">
        <f aca="false">IF($A31="","",$A31&amp;"")</f>
        <v/>
      </c>
      <c r="AF31" s="8" t="str">
        <f aca="false">IF($A31="","",SUBSTITUTE(SUBSTITUTE(SUBSTITUTE($A31&amp;"","~","~~"),"*","~*"),"?","~?"))</f>
        <v/>
      </c>
    </row>
    <row r="32" customFormat="false" ht="15" hidden="false" customHeight="false" outlineLevel="0" collapsed="false">
      <c r="A32" s="11"/>
      <c r="B32" s="11"/>
      <c r="C32" s="11"/>
      <c r="D32" s="16"/>
      <c r="E32" s="11"/>
      <c r="F32" s="11"/>
      <c r="G32" s="9"/>
      <c r="H32" s="11"/>
      <c r="I32" s="17"/>
      <c r="J32" s="18" t="str">
        <f aca="false">IF($A32="","",IF(COUNT(Usage!$C:$C)=0,"",MAX(0,SUMIFS(Usage!$C:$C,Usage!$A:$A,$AF32,Usage!$B:$B,"&gt;="&amp;(PlanDate-AduWindow),Usage!$B:$B,"&lt;"&amp;PlanDate))/AduWindow))</f>
        <v/>
      </c>
      <c r="K32" s="18" t="str">
        <f aca="false">IF($A32="","",IF(AND(ISNUMBER($I32),N($I32)&gt;=0),$I32,$J32))</f>
        <v/>
      </c>
      <c r="L32" s="19" t="str">
        <f aca="false">IF($A32="","",IF($K32="","Needs ADU",IF($K32&lt;=0,"No recent demand",IF(N($D32)&lt;=0,"Needs lead time","Planned"))))</f>
        <v/>
      </c>
      <c r="M32" s="8" t="str">
        <f aca="false">IF($A32="","",IF(ISNUMBER(MATCH($C32,Profiles!$A$2:$A$100,0)),$C32,DefaultProfile))</f>
        <v/>
      </c>
      <c r="N32" s="20" t="str">
        <f aca="false">IF($A32="","",INDEX(Profiles!$D$2:$D$100,MATCH($M32,Profiles!$A$2:$A$100,0)))</f>
        <v/>
      </c>
      <c r="O32" s="20" t="str">
        <f aca="false">IF($A32="","",INDEX(Profiles!$E$2:$E$100,MATCH($M32,Profiles!$A$2:$A$100,0)))</f>
        <v/>
      </c>
      <c r="P32" s="21" t="str">
        <f aca="false">IF($L32&lt;&gt;"Planned","",$K32*$D32*$N32*(1+$O32))</f>
        <v/>
      </c>
      <c r="Q32" s="21" t="str">
        <f aca="false">IF($L32&lt;&gt;"Planned","",$K32*$D32)</f>
        <v/>
      </c>
      <c r="R32" s="21" t="str">
        <f aca="false">IF($L32&lt;&gt;"Planned","",MAX(N($E32),$K32*$D32*$N32,$K32*N($G32)))</f>
        <v/>
      </c>
      <c r="S32" s="21" t="str">
        <f aca="false">IF($L32&lt;&gt;"Planned","",$P32)</f>
        <v/>
      </c>
      <c r="T32" s="21" t="str">
        <f aca="false">IF($L32&lt;&gt;"Planned","",$P32+$Q32)</f>
        <v/>
      </c>
      <c r="U32" s="21" t="str">
        <f aca="false">IF($L32&lt;&gt;"Planned","",$T32+$R32)</f>
        <v/>
      </c>
      <c r="V32" s="8" t="str">
        <f aca="false">IF($A32="","",SUMIFS('Open supply'!$C:$C,'Open supply'!$A:$A,$AF32))</f>
        <v/>
      </c>
      <c r="W32" s="8" t="str">
        <f aca="false">IF($A32="","",SUMIFS('Open supply'!$C:$C,'Open supply'!$A:$A,$AF32,'Open supply'!$B:$B,"&lt;"&amp;PlanDate))</f>
        <v/>
      </c>
      <c r="X32" s="8" t="str">
        <f aca="false">IF($A32="","",SUMIFS('Open demand'!$G:$G,'Open demand'!$A:$A,$AF32))</f>
        <v/>
      </c>
      <c r="Y32" s="8" t="str">
        <f aca="false">IF($L32&lt;&gt;"Planned","",N($H32)+$V32-$X32)</f>
        <v/>
      </c>
      <c r="Z32" s="19" t="str">
        <f aca="false">IF($L32&lt;&gt;"Planned","",IF($Y32&lt;=$S32,"Red",IF($Y32&lt;=$T32,"Yellow",IF($Y32&lt;=$U32,"Green","Above green"))))</f>
        <v/>
      </c>
      <c r="AA32" s="22" t="str">
        <f aca="false">IF(OR($L32&lt;&gt;"Planned",N($U32)&lt;=0),"",$Y32/$U32)</f>
        <v/>
      </c>
      <c r="AB32" s="8" t="str">
        <f aca="false">IF($L32&lt;&gt;"Planned","",IF($Y32&lt;=$T32,ROUNDUP(MAX($U32-$Y32,N($E32))/IF(N($F32)&gt;0,$F32,1)-0.000000001,0)*IF(N($F32)&gt;0,$F32,1),""))</f>
        <v/>
      </c>
      <c r="AC32" s="23" t="str">
        <f aca="false">IF(N($AB32)&gt;0,PlanDate+ROUNDUP($D32,0),"")</f>
        <v/>
      </c>
      <c r="AD32" s="19" t="str">
        <f aca="false">IF($L32&lt;&gt;"Planned","",IF(N($H32)&lt;=0,"Stockout",IF(N($H32)&lt;$S32*0.5,"Critical",IF(N($H32)&lt;=$S32,"Low",IF(N($H32)&gt;$U32,"Over top of green","OK")))))</f>
        <v/>
      </c>
      <c r="AE32" s="8" t="str">
        <f aca="false">IF($A32="","",$A32&amp;"")</f>
        <v/>
      </c>
      <c r="AF32" s="8" t="str">
        <f aca="false">IF($A32="","",SUBSTITUTE(SUBSTITUTE(SUBSTITUTE($A32&amp;"","~","~~"),"*","~*"),"?","~?"))</f>
        <v/>
      </c>
    </row>
    <row r="33" customFormat="false" ht="15" hidden="false" customHeight="false" outlineLevel="0" collapsed="false">
      <c r="A33" s="11"/>
      <c r="B33" s="11"/>
      <c r="C33" s="11"/>
      <c r="D33" s="16"/>
      <c r="E33" s="11"/>
      <c r="F33" s="11"/>
      <c r="G33" s="9"/>
      <c r="H33" s="11"/>
      <c r="I33" s="17"/>
      <c r="J33" s="18" t="str">
        <f aca="false">IF($A33="","",IF(COUNT(Usage!$C:$C)=0,"",MAX(0,SUMIFS(Usage!$C:$C,Usage!$A:$A,$AF33,Usage!$B:$B,"&gt;="&amp;(PlanDate-AduWindow),Usage!$B:$B,"&lt;"&amp;PlanDate))/AduWindow))</f>
        <v/>
      </c>
      <c r="K33" s="18" t="str">
        <f aca="false">IF($A33="","",IF(AND(ISNUMBER($I33),N($I33)&gt;=0),$I33,$J33))</f>
        <v/>
      </c>
      <c r="L33" s="19" t="str">
        <f aca="false">IF($A33="","",IF($K33="","Needs ADU",IF($K33&lt;=0,"No recent demand",IF(N($D33)&lt;=0,"Needs lead time","Planned"))))</f>
        <v/>
      </c>
      <c r="M33" s="8" t="str">
        <f aca="false">IF($A33="","",IF(ISNUMBER(MATCH($C33,Profiles!$A$2:$A$100,0)),$C33,DefaultProfile))</f>
        <v/>
      </c>
      <c r="N33" s="20" t="str">
        <f aca="false">IF($A33="","",INDEX(Profiles!$D$2:$D$100,MATCH($M33,Profiles!$A$2:$A$100,0)))</f>
        <v/>
      </c>
      <c r="O33" s="20" t="str">
        <f aca="false">IF($A33="","",INDEX(Profiles!$E$2:$E$100,MATCH($M33,Profiles!$A$2:$A$100,0)))</f>
        <v/>
      </c>
      <c r="P33" s="21" t="str">
        <f aca="false">IF($L33&lt;&gt;"Planned","",$K33*$D33*$N33*(1+$O33))</f>
        <v/>
      </c>
      <c r="Q33" s="21" t="str">
        <f aca="false">IF($L33&lt;&gt;"Planned","",$K33*$D33)</f>
        <v/>
      </c>
      <c r="R33" s="21" t="str">
        <f aca="false">IF($L33&lt;&gt;"Planned","",MAX(N($E33),$K33*$D33*$N33,$K33*N($G33)))</f>
        <v/>
      </c>
      <c r="S33" s="21" t="str">
        <f aca="false">IF($L33&lt;&gt;"Planned","",$P33)</f>
        <v/>
      </c>
      <c r="T33" s="21" t="str">
        <f aca="false">IF($L33&lt;&gt;"Planned","",$P33+$Q33)</f>
        <v/>
      </c>
      <c r="U33" s="21" t="str">
        <f aca="false">IF($L33&lt;&gt;"Planned","",$T33+$R33)</f>
        <v/>
      </c>
      <c r="V33" s="8" t="str">
        <f aca="false">IF($A33="","",SUMIFS('Open supply'!$C:$C,'Open supply'!$A:$A,$AF33))</f>
        <v/>
      </c>
      <c r="W33" s="8" t="str">
        <f aca="false">IF($A33="","",SUMIFS('Open supply'!$C:$C,'Open supply'!$A:$A,$AF33,'Open supply'!$B:$B,"&lt;"&amp;PlanDate))</f>
        <v/>
      </c>
      <c r="X33" s="8" t="str">
        <f aca="false">IF($A33="","",SUMIFS('Open demand'!$G:$G,'Open demand'!$A:$A,$AF33))</f>
        <v/>
      </c>
      <c r="Y33" s="8" t="str">
        <f aca="false">IF($L33&lt;&gt;"Planned","",N($H33)+$V33-$X33)</f>
        <v/>
      </c>
      <c r="Z33" s="19" t="str">
        <f aca="false">IF($L33&lt;&gt;"Planned","",IF($Y33&lt;=$S33,"Red",IF($Y33&lt;=$T33,"Yellow",IF($Y33&lt;=$U33,"Green","Above green"))))</f>
        <v/>
      </c>
      <c r="AA33" s="22" t="str">
        <f aca="false">IF(OR($L33&lt;&gt;"Planned",N($U33)&lt;=0),"",$Y33/$U33)</f>
        <v/>
      </c>
      <c r="AB33" s="8" t="str">
        <f aca="false">IF($L33&lt;&gt;"Planned","",IF($Y33&lt;=$T33,ROUNDUP(MAX($U33-$Y33,N($E33))/IF(N($F33)&gt;0,$F33,1)-0.000000001,0)*IF(N($F33)&gt;0,$F33,1),""))</f>
        <v/>
      </c>
      <c r="AC33" s="23" t="str">
        <f aca="false">IF(N($AB33)&gt;0,PlanDate+ROUNDUP($D33,0),"")</f>
        <v/>
      </c>
      <c r="AD33" s="19" t="str">
        <f aca="false">IF($L33&lt;&gt;"Planned","",IF(N($H33)&lt;=0,"Stockout",IF(N($H33)&lt;$S33*0.5,"Critical",IF(N($H33)&lt;=$S33,"Low",IF(N($H33)&gt;$U33,"Over top of green","OK")))))</f>
        <v/>
      </c>
      <c r="AE33" s="8" t="str">
        <f aca="false">IF($A33="","",$A33&amp;"")</f>
        <v/>
      </c>
      <c r="AF33" s="8" t="str">
        <f aca="false">IF($A33="","",SUBSTITUTE(SUBSTITUTE(SUBSTITUTE($A33&amp;"","~","~~"),"*","~*"),"?","~?"))</f>
        <v/>
      </c>
    </row>
    <row r="34" customFormat="false" ht="15" hidden="false" customHeight="false" outlineLevel="0" collapsed="false">
      <c r="A34" s="11"/>
      <c r="B34" s="11"/>
      <c r="C34" s="11"/>
      <c r="D34" s="16"/>
      <c r="E34" s="11"/>
      <c r="F34" s="11"/>
      <c r="G34" s="9"/>
      <c r="H34" s="11"/>
      <c r="I34" s="17"/>
      <c r="J34" s="18" t="str">
        <f aca="false">IF($A34="","",IF(COUNT(Usage!$C:$C)=0,"",MAX(0,SUMIFS(Usage!$C:$C,Usage!$A:$A,$AF34,Usage!$B:$B,"&gt;="&amp;(PlanDate-AduWindow),Usage!$B:$B,"&lt;"&amp;PlanDate))/AduWindow))</f>
        <v/>
      </c>
      <c r="K34" s="18" t="str">
        <f aca="false">IF($A34="","",IF(AND(ISNUMBER($I34),N($I34)&gt;=0),$I34,$J34))</f>
        <v/>
      </c>
      <c r="L34" s="19" t="str">
        <f aca="false">IF($A34="","",IF($K34="","Needs ADU",IF($K34&lt;=0,"No recent demand",IF(N($D34)&lt;=0,"Needs lead time","Planned"))))</f>
        <v/>
      </c>
      <c r="M34" s="8" t="str">
        <f aca="false">IF($A34="","",IF(ISNUMBER(MATCH($C34,Profiles!$A$2:$A$100,0)),$C34,DefaultProfile))</f>
        <v/>
      </c>
      <c r="N34" s="20" t="str">
        <f aca="false">IF($A34="","",INDEX(Profiles!$D$2:$D$100,MATCH($M34,Profiles!$A$2:$A$100,0)))</f>
        <v/>
      </c>
      <c r="O34" s="20" t="str">
        <f aca="false">IF($A34="","",INDEX(Profiles!$E$2:$E$100,MATCH($M34,Profiles!$A$2:$A$100,0)))</f>
        <v/>
      </c>
      <c r="P34" s="21" t="str">
        <f aca="false">IF($L34&lt;&gt;"Planned","",$K34*$D34*$N34*(1+$O34))</f>
        <v/>
      </c>
      <c r="Q34" s="21" t="str">
        <f aca="false">IF($L34&lt;&gt;"Planned","",$K34*$D34)</f>
        <v/>
      </c>
      <c r="R34" s="21" t="str">
        <f aca="false">IF($L34&lt;&gt;"Planned","",MAX(N($E34),$K34*$D34*$N34,$K34*N($G34)))</f>
        <v/>
      </c>
      <c r="S34" s="21" t="str">
        <f aca="false">IF($L34&lt;&gt;"Planned","",$P34)</f>
        <v/>
      </c>
      <c r="T34" s="21" t="str">
        <f aca="false">IF($L34&lt;&gt;"Planned","",$P34+$Q34)</f>
        <v/>
      </c>
      <c r="U34" s="21" t="str">
        <f aca="false">IF($L34&lt;&gt;"Planned","",$T34+$R34)</f>
        <v/>
      </c>
      <c r="V34" s="8" t="str">
        <f aca="false">IF($A34="","",SUMIFS('Open supply'!$C:$C,'Open supply'!$A:$A,$AF34))</f>
        <v/>
      </c>
      <c r="W34" s="8" t="str">
        <f aca="false">IF($A34="","",SUMIFS('Open supply'!$C:$C,'Open supply'!$A:$A,$AF34,'Open supply'!$B:$B,"&lt;"&amp;PlanDate))</f>
        <v/>
      </c>
      <c r="X34" s="8" t="str">
        <f aca="false">IF($A34="","",SUMIFS('Open demand'!$G:$G,'Open demand'!$A:$A,$AF34))</f>
        <v/>
      </c>
      <c r="Y34" s="8" t="str">
        <f aca="false">IF($L34&lt;&gt;"Planned","",N($H34)+$V34-$X34)</f>
        <v/>
      </c>
      <c r="Z34" s="19" t="str">
        <f aca="false">IF($L34&lt;&gt;"Planned","",IF($Y34&lt;=$S34,"Red",IF($Y34&lt;=$T34,"Yellow",IF($Y34&lt;=$U34,"Green","Above green"))))</f>
        <v/>
      </c>
      <c r="AA34" s="22" t="str">
        <f aca="false">IF(OR($L34&lt;&gt;"Planned",N($U34)&lt;=0),"",$Y34/$U34)</f>
        <v/>
      </c>
      <c r="AB34" s="8" t="str">
        <f aca="false">IF($L34&lt;&gt;"Planned","",IF($Y34&lt;=$T34,ROUNDUP(MAX($U34-$Y34,N($E34))/IF(N($F34)&gt;0,$F34,1)-0.000000001,0)*IF(N($F34)&gt;0,$F34,1),""))</f>
        <v/>
      </c>
      <c r="AC34" s="23" t="str">
        <f aca="false">IF(N($AB34)&gt;0,PlanDate+ROUNDUP($D34,0),"")</f>
        <v/>
      </c>
      <c r="AD34" s="19" t="str">
        <f aca="false">IF($L34&lt;&gt;"Planned","",IF(N($H34)&lt;=0,"Stockout",IF(N($H34)&lt;$S34*0.5,"Critical",IF(N($H34)&lt;=$S34,"Low",IF(N($H34)&gt;$U34,"Over top of green","OK")))))</f>
        <v/>
      </c>
      <c r="AE34" s="8" t="str">
        <f aca="false">IF($A34="","",$A34&amp;"")</f>
        <v/>
      </c>
      <c r="AF34" s="8" t="str">
        <f aca="false">IF($A34="","",SUBSTITUTE(SUBSTITUTE(SUBSTITUTE($A34&amp;"","~","~~"),"*","~*"),"?","~?"))</f>
        <v/>
      </c>
    </row>
    <row r="35" customFormat="false" ht="15" hidden="false" customHeight="false" outlineLevel="0" collapsed="false">
      <c r="A35" s="11"/>
      <c r="B35" s="11"/>
      <c r="C35" s="11"/>
      <c r="D35" s="16"/>
      <c r="E35" s="11"/>
      <c r="F35" s="11"/>
      <c r="G35" s="9"/>
      <c r="H35" s="11"/>
      <c r="I35" s="17"/>
      <c r="J35" s="18" t="str">
        <f aca="false">IF($A35="","",IF(COUNT(Usage!$C:$C)=0,"",MAX(0,SUMIFS(Usage!$C:$C,Usage!$A:$A,$AF35,Usage!$B:$B,"&gt;="&amp;(PlanDate-AduWindow),Usage!$B:$B,"&lt;"&amp;PlanDate))/AduWindow))</f>
        <v/>
      </c>
      <c r="K35" s="18" t="str">
        <f aca="false">IF($A35="","",IF(AND(ISNUMBER($I35),N($I35)&gt;=0),$I35,$J35))</f>
        <v/>
      </c>
      <c r="L35" s="19" t="str">
        <f aca="false">IF($A35="","",IF($K35="","Needs ADU",IF($K35&lt;=0,"No recent demand",IF(N($D35)&lt;=0,"Needs lead time","Planned"))))</f>
        <v/>
      </c>
      <c r="M35" s="8" t="str">
        <f aca="false">IF($A35="","",IF(ISNUMBER(MATCH($C35,Profiles!$A$2:$A$100,0)),$C35,DefaultProfile))</f>
        <v/>
      </c>
      <c r="N35" s="20" t="str">
        <f aca="false">IF($A35="","",INDEX(Profiles!$D$2:$D$100,MATCH($M35,Profiles!$A$2:$A$100,0)))</f>
        <v/>
      </c>
      <c r="O35" s="20" t="str">
        <f aca="false">IF($A35="","",INDEX(Profiles!$E$2:$E$100,MATCH($M35,Profiles!$A$2:$A$100,0)))</f>
        <v/>
      </c>
      <c r="P35" s="21" t="str">
        <f aca="false">IF($L35&lt;&gt;"Planned","",$K35*$D35*$N35*(1+$O35))</f>
        <v/>
      </c>
      <c r="Q35" s="21" t="str">
        <f aca="false">IF($L35&lt;&gt;"Planned","",$K35*$D35)</f>
        <v/>
      </c>
      <c r="R35" s="21" t="str">
        <f aca="false">IF($L35&lt;&gt;"Planned","",MAX(N($E35),$K35*$D35*$N35,$K35*N($G35)))</f>
        <v/>
      </c>
      <c r="S35" s="21" t="str">
        <f aca="false">IF($L35&lt;&gt;"Planned","",$P35)</f>
        <v/>
      </c>
      <c r="T35" s="21" t="str">
        <f aca="false">IF($L35&lt;&gt;"Planned","",$P35+$Q35)</f>
        <v/>
      </c>
      <c r="U35" s="21" t="str">
        <f aca="false">IF($L35&lt;&gt;"Planned","",$T35+$R35)</f>
        <v/>
      </c>
      <c r="V35" s="8" t="str">
        <f aca="false">IF($A35="","",SUMIFS('Open supply'!$C:$C,'Open supply'!$A:$A,$AF35))</f>
        <v/>
      </c>
      <c r="W35" s="8" t="str">
        <f aca="false">IF($A35="","",SUMIFS('Open supply'!$C:$C,'Open supply'!$A:$A,$AF35,'Open supply'!$B:$B,"&lt;"&amp;PlanDate))</f>
        <v/>
      </c>
      <c r="X35" s="8" t="str">
        <f aca="false">IF($A35="","",SUMIFS('Open demand'!$G:$G,'Open demand'!$A:$A,$AF35))</f>
        <v/>
      </c>
      <c r="Y35" s="8" t="str">
        <f aca="false">IF($L35&lt;&gt;"Planned","",N($H35)+$V35-$X35)</f>
        <v/>
      </c>
      <c r="Z35" s="19" t="str">
        <f aca="false">IF($L35&lt;&gt;"Planned","",IF($Y35&lt;=$S35,"Red",IF($Y35&lt;=$T35,"Yellow",IF($Y35&lt;=$U35,"Green","Above green"))))</f>
        <v/>
      </c>
      <c r="AA35" s="22" t="str">
        <f aca="false">IF(OR($L35&lt;&gt;"Planned",N($U35)&lt;=0),"",$Y35/$U35)</f>
        <v/>
      </c>
      <c r="AB35" s="8" t="str">
        <f aca="false">IF($L35&lt;&gt;"Planned","",IF($Y35&lt;=$T35,ROUNDUP(MAX($U35-$Y35,N($E35))/IF(N($F35)&gt;0,$F35,1)-0.000000001,0)*IF(N($F35)&gt;0,$F35,1),""))</f>
        <v/>
      </c>
      <c r="AC35" s="23" t="str">
        <f aca="false">IF(N($AB35)&gt;0,PlanDate+ROUNDUP($D35,0),"")</f>
        <v/>
      </c>
      <c r="AD35" s="19" t="str">
        <f aca="false">IF($L35&lt;&gt;"Planned","",IF(N($H35)&lt;=0,"Stockout",IF(N($H35)&lt;$S35*0.5,"Critical",IF(N($H35)&lt;=$S35,"Low",IF(N($H35)&gt;$U35,"Over top of green","OK")))))</f>
        <v/>
      </c>
      <c r="AE35" s="8" t="str">
        <f aca="false">IF($A35="","",$A35&amp;"")</f>
        <v/>
      </c>
      <c r="AF35" s="8" t="str">
        <f aca="false">IF($A35="","",SUBSTITUTE(SUBSTITUTE(SUBSTITUTE($A35&amp;"","~","~~"),"*","~*"),"?","~?"))</f>
        <v/>
      </c>
    </row>
    <row r="36" customFormat="false" ht="15" hidden="false" customHeight="false" outlineLevel="0" collapsed="false">
      <c r="A36" s="11"/>
      <c r="B36" s="11"/>
      <c r="C36" s="11"/>
      <c r="D36" s="16"/>
      <c r="E36" s="11"/>
      <c r="F36" s="11"/>
      <c r="G36" s="9"/>
      <c r="H36" s="11"/>
      <c r="I36" s="17"/>
      <c r="J36" s="18" t="str">
        <f aca="false">IF($A36="","",IF(COUNT(Usage!$C:$C)=0,"",MAX(0,SUMIFS(Usage!$C:$C,Usage!$A:$A,$AF36,Usage!$B:$B,"&gt;="&amp;(PlanDate-AduWindow),Usage!$B:$B,"&lt;"&amp;PlanDate))/AduWindow))</f>
        <v/>
      </c>
      <c r="K36" s="18" t="str">
        <f aca="false">IF($A36="","",IF(AND(ISNUMBER($I36),N($I36)&gt;=0),$I36,$J36))</f>
        <v/>
      </c>
      <c r="L36" s="19" t="str">
        <f aca="false">IF($A36="","",IF($K36="","Needs ADU",IF($K36&lt;=0,"No recent demand",IF(N($D36)&lt;=0,"Needs lead time","Planned"))))</f>
        <v/>
      </c>
      <c r="M36" s="8" t="str">
        <f aca="false">IF($A36="","",IF(ISNUMBER(MATCH($C36,Profiles!$A$2:$A$100,0)),$C36,DefaultProfile))</f>
        <v/>
      </c>
      <c r="N36" s="20" t="str">
        <f aca="false">IF($A36="","",INDEX(Profiles!$D$2:$D$100,MATCH($M36,Profiles!$A$2:$A$100,0)))</f>
        <v/>
      </c>
      <c r="O36" s="20" t="str">
        <f aca="false">IF($A36="","",INDEX(Profiles!$E$2:$E$100,MATCH($M36,Profiles!$A$2:$A$100,0)))</f>
        <v/>
      </c>
      <c r="P36" s="21" t="str">
        <f aca="false">IF($L36&lt;&gt;"Planned","",$K36*$D36*$N36*(1+$O36))</f>
        <v/>
      </c>
      <c r="Q36" s="21" t="str">
        <f aca="false">IF($L36&lt;&gt;"Planned","",$K36*$D36)</f>
        <v/>
      </c>
      <c r="R36" s="21" t="str">
        <f aca="false">IF($L36&lt;&gt;"Planned","",MAX(N($E36),$K36*$D36*$N36,$K36*N($G36)))</f>
        <v/>
      </c>
      <c r="S36" s="21" t="str">
        <f aca="false">IF($L36&lt;&gt;"Planned","",$P36)</f>
        <v/>
      </c>
      <c r="T36" s="21" t="str">
        <f aca="false">IF($L36&lt;&gt;"Planned","",$P36+$Q36)</f>
        <v/>
      </c>
      <c r="U36" s="21" t="str">
        <f aca="false">IF($L36&lt;&gt;"Planned","",$T36+$R36)</f>
        <v/>
      </c>
      <c r="V36" s="8" t="str">
        <f aca="false">IF($A36="","",SUMIFS('Open supply'!$C:$C,'Open supply'!$A:$A,$AF36))</f>
        <v/>
      </c>
      <c r="W36" s="8" t="str">
        <f aca="false">IF($A36="","",SUMIFS('Open supply'!$C:$C,'Open supply'!$A:$A,$AF36,'Open supply'!$B:$B,"&lt;"&amp;PlanDate))</f>
        <v/>
      </c>
      <c r="X36" s="8" t="str">
        <f aca="false">IF($A36="","",SUMIFS('Open demand'!$G:$G,'Open demand'!$A:$A,$AF36))</f>
        <v/>
      </c>
      <c r="Y36" s="8" t="str">
        <f aca="false">IF($L36&lt;&gt;"Planned","",N($H36)+$V36-$X36)</f>
        <v/>
      </c>
      <c r="Z36" s="19" t="str">
        <f aca="false">IF($L36&lt;&gt;"Planned","",IF($Y36&lt;=$S36,"Red",IF($Y36&lt;=$T36,"Yellow",IF($Y36&lt;=$U36,"Green","Above green"))))</f>
        <v/>
      </c>
      <c r="AA36" s="22" t="str">
        <f aca="false">IF(OR($L36&lt;&gt;"Planned",N($U36)&lt;=0),"",$Y36/$U36)</f>
        <v/>
      </c>
      <c r="AB36" s="8" t="str">
        <f aca="false">IF($L36&lt;&gt;"Planned","",IF($Y36&lt;=$T36,ROUNDUP(MAX($U36-$Y36,N($E36))/IF(N($F36)&gt;0,$F36,1)-0.000000001,0)*IF(N($F36)&gt;0,$F36,1),""))</f>
        <v/>
      </c>
      <c r="AC36" s="23" t="str">
        <f aca="false">IF(N($AB36)&gt;0,PlanDate+ROUNDUP($D36,0),"")</f>
        <v/>
      </c>
      <c r="AD36" s="19" t="str">
        <f aca="false">IF($L36&lt;&gt;"Planned","",IF(N($H36)&lt;=0,"Stockout",IF(N($H36)&lt;$S36*0.5,"Critical",IF(N($H36)&lt;=$S36,"Low",IF(N($H36)&gt;$U36,"Over top of green","OK")))))</f>
        <v/>
      </c>
      <c r="AE36" s="8" t="str">
        <f aca="false">IF($A36="","",$A36&amp;"")</f>
        <v/>
      </c>
      <c r="AF36" s="8" t="str">
        <f aca="false">IF($A36="","",SUBSTITUTE(SUBSTITUTE(SUBSTITUTE($A36&amp;"","~","~~"),"*","~*"),"?","~?"))</f>
        <v/>
      </c>
    </row>
    <row r="37" customFormat="false" ht="15" hidden="false" customHeight="false" outlineLevel="0" collapsed="false">
      <c r="A37" s="11"/>
      <c r="B37" s="11"/>
      <c r="C37" s="11"/>
      <c r="D37" s="16"/>
      <c r="E37" s="11"/>
      <c r="F37" s="11"/>
      <c r="G37" s="9"/>
      <c r="H37" s="11"/>
      <c r="I37" s="17"/>
      <c r="J37" s="18" t="str">
        <f aca="false">IF($A37="","",IF(COUNT(Usage!$C:$C)=0,"",MAX(0,SUMIFS(Usage!$C:$C,Usage!$A:$A,$AF37,Usage!$B:$B,"&gt;="&amp;(PlanDate-AduWindow),Usage!$B:$B,"&lt;"&amp;PlanDate))/AduWindow))</f>
        <v/>
      </c>
      <c r="K37" s="18" t="str">
        <f aca="false">IF($A37="","",IF(AND(ISNUMBER($I37),N($I37)&gt;=0),$I37,$J37))</f>
        <v/>
      </c>
      <c r="L37" s="19" t="str">
        <f aca="false">IF($A37="","",IF($K37="","Needs ADU",IF($K37&lt;=0,"No recent demand",IF(N($D37)&lt;=0,"Needs lead time","Planned"))))</f>
        <v/>
      </c>
      <c r="M37" s="8" t="str">
        <f aca="false">IF($A37="","",IF(ISNUMBER(MATCH($C37,Profiles!$A$2:$A$100,0)),$C37,DefaultProfile))</f>
        <v/>
      </c>
      <c r="N37" s="20" t="str">
        <f aca="false">IF($A37="","",INDEX(Profiles!$D$2:$D$100,MATCH($M37,Profiles!$A$2:$A$100,0)))</f>
        <v/>
      </c>
      <c r="O37" s="20" t="str">
        <f aca="false">IF($A37="","",INDEX(Profiles!$E$2:$E$100,MATCH($M37,Profiles!$A$2:$A$100,0)))</f>
        <v/>
      </c>
      <c r="P37" s="21" t="str">
        <f aca="false">IF($L37&lt;&gt;"Planned","",$K37*$D37*$N37*(1+$O37))</f>
        <v/>
      </c>
      <c r="Q37" s="21" t="str">
        <f aca="false">IF($L37&lt;&gt;"Planned","",$K37*$D37)</f>
        <v/>
      </c>
      <c r="R37" s="21" t="str">
        <f aca="false">IF($L37&lt;&gt;"Planned","",MAX(N($E37),$K37*$D37*$N37,$K37*N($G37)))</f>
        <v/>
      </c>
      <c r="S37" s="21" t="str">
        <f aca="false">IF($L37&lt;&gt;"Planned","",$P37)</f>
        <v/>
      </c>
      <c r="T37" s="21" t="str">
        <f aca="false">IF($L37&lt;&gt;"Planned","",$P37+$Q37)</f>
        <v/>
      </c>
      <c r="U37" s="21" t="str">
        <f aca="false">IF($L37&lt;&gt;"Planned","",$T37+$R37)</f>
        <v/>
      </c>
      <c r="V37" s="8" t="str">
        <f aca="false">IF($A37="","",SUMIFS('Open supply'!$C:$C,'Open supply'!$A:$A,$AF37))</f>
        <v/>
      </c>
      <c r="W37" s="8" t="str">
        <f aca="false">IF($A37="","",SUMIFS('Open supply'!$C:$C,'Open supply'!$A:$A,$AF37,'Open supply'!$B:$B,"&lt;"&amp;PlanDate))</f>
        <v/>
      </c>
      <c r="X37" s="8" t="str">
        <f aca="false">IF($A37="","",SUMIFS('Open demand'!$G:$G,'Open demand'!$A:$A,$AF37))</f>
        <v/>
      </c>
      <c r="Y37" s="8" t="str">
        <f aca="false">IF($L37&lt;&gt;"Planned","",N($H37)+$V37-$X37)</f>
        <v/>
      </c>
      <c r="Z37" s="19" t="str">
        <f aca="false">IF($L37&lt;&gt;"Planned","",IF($Y37&lt;=$S37,"Red",IF($Y37&lt;=$T37,"Yellow",IF($Y37&lt;=$U37,"Green","Above green"))))</f>
        <v/>
      </c>
      <c r="AA37" s="22" t="str">
        <f aca="false">IF(OR($L37&lt;&gt;"Planned",N($U37)&lt;=0),"",$Y37/$U37)</f>
        <v/>
      </c>
      <c r="AB37" s="8" t="str">
        <f aca="false">IF($L37&lt;&gt;"Planned","",IF($Y37&lt;=$T37,ROUNDUP(MAX($U37-$Y37,N($E37))/IF(N($F37)&gt;0,$F37,1)-0.000000001,0)*IF(N($F37)&gt;0,$F37,1),""))</f>
        <v/>
      </c>
      <c r="AC37" s="23" t="str">
        <f aca="false">IF(N($AB37)&gt;0,PlanDate+ROUNDUP($D37,0),"")</f>
        <v/>
      </c>
      <c r="AD37" s="19" t="str">
        <f aca="false">IF($L37&lt;&gt;"Planned","",IF(N($H37)&lt;=0,"Stockout",IF(N($H37)&lt;$S37*0.5,"Critical",IF(N($H37)&lt;=$S37,"Low",IF(N($H37)&gt;$U37,"Over top of green","OK")))))</f>
        <v/>
      </c>
      <c r="AE37" s="8" t="str">
        <f aca="false">IF($A37="","",$A37&amp;"")</f>
        <v/>
      </c>
      <c r="AF37" s="8" t="str">
        <f aca="false">IF($A37="","",SUBSTITUTE(SUBSTITUTE(SUBSTITUTE($A37&amp;"","~","~~"),"*","~*"),"?","~?"))</f>
        <v/>
      </c>
    </row>
    <row r="38" customFormat="false" ht="15" hidden="false" customHeight="false" outlineLevel="0" collapsed="false">
      <c r="A38" s="11"/>
      <c r="B38" s="11"/>
      <c r="C38" s="11"/>
      <c r="D38" s="16"/>
      <c r="E38" s="11"/>
      <c r="F38" s="11"/>
      <c r="G38" s="9"/>
      <c r="H38" s="11"/>
      <c r="I38" s="17"/>
      <c r="J38" s="18" t="str">
        <f aca="false">IF($A38="","",IF(COUNT(Usage!$C:$C)=0,"",MAX(0,SUMIFS(Usage!$C:$C,Usage!$A:$A,$AF38,Usage!$B:$B,"&gt;="&amp;(PlanDate-AduWindow),Usage!$B:$B,"&lt;"&amp;PlanDate))/AduWindow))</f>
        <v/>
      </c>
      <c r="K38" s="18" t="str">
        <f aca="false">IF($A38="","",IF(AND(ISNUMBER($I38),N($I38)&gt;=0),$I38,$J38))</f>
        <v/>
      </c>
      <c r="L38" s="19" t="str">
        <f aca="false">IF($A38="","",IF($K38="","Needs ADU",IF($K38&lt;=0,"No recent demand",IF(N($D38)&lt;=0,"Needs lead time","Planned"))))</f>
        <v/>
      </c>
      <c r="M38" s="8" t="str">
        <f aca="false">IF($A38="","",IF(ISNUMBER(MATCH($C38,Profiles!$A$2:$A$100,0)),$C38,DefaultProfile))</f>
        <v/>
      </c>
      <c r="N38" s="20" t="str">
        <f aca="false">IF($A38="","",INDEX(Profiles!$D$2:$D$100,MATCH($M38,Profiles!$A$2:$A$100,0)))</f>
        <v/>
      </c>
      <c r="O38" s="20" t="str">
        <f aca="false">IF($A38="","",INDEX(Profiles!$E$2:$E$100,MATCH($M38,Profiles!$A$2:$A$100,0)))</f>
        <v/>
      </c>
      <c r="P38" s="21" t="str">
        <f aca="false">IF($L38&lt;&gt;"Planned","",$K38*$D38*$N38*(1+$O38))</f>
        <v/>
      </c>
      <c r="Q38" s="21" t="str">
        <f aca="false">IF($L38&lt;&gt;"Planned","",$K38*$D38)</f>
        <v/>
      </c>
      <c r="R38" s="21" t="str">
        <f aca="false">IF($L38&lt;&gt;"Planned","",MAX(N($E38),$K38*$D38*$N38,$K38*N($G38)))</f>
        <v/>
      </c>
      <c r="S38" s="21" t="str">
        <f aca="false">IF($L38&lt;&gt;"Planned","",$P38)</f>
        <v/>
      </c>
      <c r="T38" s="21" t="str">
        <f aca="false">IF($L38&lt;&gt;"Planned","",$P38+$Q38)</f>
        <v/>
      </c>
      <c r="U38" s="21" t="str">
        <f aca="false">IF($L38&lt;&gt;"Planned","",$T38+$R38)</f>
        <v/>
      </c>
      <c r="V38" s="8" t="str">
        <f aca="false">IF($A38="","",SUMIFS('Open supply'!$C:$C,'Open supply'!$A:$A,$AF38))</f>
        <v/>
      </c>
      <c r="W38" s="8" t="str">
        <f aca="false">IF($A38="","",SUMIFS('Open supply'!$C:$C,'Open supply'!$A:$A,$AF38,'Open supply'!$B:$B,"&lt;"&amp;PlanDate))</f>
        <v/>
      </c>
      <c r="X38" s="8" t="str">
        <f aca="false">IF($A38="","",SUMIFS('Open demand'!$G:$G,'Open demand'!$A:$A,$AF38))</f>
        <v/>
      </c>
      <c r="Y38" s="8" t="str">
        <f aca="false">IF($L38&lt;&gt;"Planned","",N($H38)+$V38-$X38)</f>
        <v/>
      </c>
      <c r="Z38" s="19" t="str">
        <f aca="false">IF($L38&lt;&gt;"Planned","",IF($Y38&lt;=$S38,"Red",IF($Y38&lt;=$T38,"Yellow",IF($Y38&lt;=$U38,"Green","Above green"))))</f>
        <v/>
      </c>
      <c r="AA38" s="22" t="str">
        <f aca="false">IF(OR($L38&lt;&gt;"Planned",N($U38)&lt;=0),"",$Y38/$U38)</f>
        <v/>
      </c>
      <c r="AB38" s="8" t="str">
        <f aca="false">IF($L38&lt;&gt;"Planned","",IF($Y38&lt;=$T38,ROUNDUP(MAX($U38-$Y38,N($E38))/IF(N($F38)&gt;0,$F38,1)-0.000000001,0)*IF(N($F38)&gt;0,$F38,1),""))</f>
        <v/>
      </c>
      <c r="AC38" s="23" t="str">
        <f aca="false">IF(N($AB38)&gt;0,PlanDate+ROUNDUP($D38,0),"")</f>
        <v/>
      </c>
      <c r="AD38" s="19" t="str">
        <f aca="false">IF($L38&lt;&gt;"Planned","",IF(N($H38)&lt;=0,"Stockout",IF(N($H38)&lt;$S38*0.5,"Critical",IF(N($H38)&lt;=$S38,"Low",IF(N($H38)&gt;$U38,"Over top of green","OK")))))</f>
        <v/>
      </c>
      <c r="AE38" s="8" t="str">
        <f aca="false">IF($A38="","",$A38&amp;"")</f>
        <v/>
      </c>
      <c r="AF38" s="8" t="str">
        <f aca="false">IF($A38="","",SUBSTITUTE(SUBSTITUTE(SUBSTITUTE($A38&amp;"","~","~~"),"*","~*"),"?","~?"))</f>
        <v/>
      </c>
    </row>
    <row r="39" customFormat="false" ht="15" hidden="false" customHeight="false" outlineLevel="0" collapsed="false">
      <c r="A39" s="11"/>
      <c r="B39" s="11"/>
      <c r="C39" s="11"/>
      <c r="D39" s="16"/>
      <c r="E39" s="11"/>
      <c r="F39" s="11"/>
      <c r="G39" s="9"/>
      <c r="H39" s="11"/>
      <c r="I39" s="17"/>
      <c r="J39" s="18" t="str">
        <f aca="false">IF($A39="","",IF(COUNT(Usage!$C:$C)=0,"",MAX(0,SUMIFS(Usage!$C:$C,Usage!$A:$A,$AF39,Usage!$B:$B,"&gt;="&amp;(PlanDate-AduWindow),Usage!$B:$B,"&lt;"&amp;PlanDate))/AduWindow))</f>
        <v/>
      </c>
      <c r="K39" s="18" t="str">
        <f aca="false">IF($A39="","",IF(AND(ISNUMBER($I39),N($I39)&gt;=0),$I39,$J39))</f>
        <v/>
      </c>
      <c r="L39" s="19" t="str">
        <f aca="false">IF($A39="","",IF($K39="","Needs ADU",IF($K39&lt;=0,"No recent demand",IF(N($D39)&lt;=0,"Needs lead time","Planned"))))</f>
        <v/>
      </c>
      <c r="M39" s="8" t="str">
        <f aca="false">IF($A39="","",IF(ISNUMBER(MATCH($C39,Profiles!$A$2:$A$100,0)),$C39,DefaultProfile))</f>
        <v/>
      </c>
      <c r="N39" s="20" t="str">
        <f aca="false">IF($A39="","",INDEX(Profiles!$D$2:$D$100,MATCH($M39,Profiles!$A$2:$A$100,0)))</f>
        <v/>
      </c>
      <c r="O39" s="20" t="str">
        <f aca="false">IF($A39="","",INDEX(Profiles!$E$2:$E$100,MATCH($M39,Profiles!$A$2:$A$100,0)))</f>
        <v/>
      </c>
      <c r="P39" s="21" t="str">
        <f aca="false">IF($L39&lt;&gt;"Planned","",$K39*$D39*$N39*(1+$O39))</f>
        <v/>
      </c>
      <c r="Q39" s="21" t="str">
        <f aca="false">IF($L39&lt;&gt;"Planned","",$K39*$D39)</f>
        <v/>
      </c>
      <c r="R39" s="21" t="str">
        <f aca="false">IF($L39&lt;&gt;"Planned","",MAX(N($E39),$K39*$D39*$N39,$K39*N($G39)))</f>
        <v/>
      </c>
      <c r="S39" s="21" t="str">
        <f aca="false">IF($L39&lt;&gt;"Planned","",$P39)</f>
        <v/>
      </c>
      <c r="T39" s="21" t="str">
        <f aca="false">IF($L39&lt;&gt;"Planned","",$P39+$Q39)</f>
        <v/>
      </c>
      <c r="U39" s="21" t="str">
        <f aca="false">IF($L39&lt;&gt;"Planned","",$T39+$R39)</f>
        <v/>
      </c>
      <c r="V39" s="8" t="str">
        <f aca="false">IF($A39="","",SUMIFS('Open supply'!$C:$C,'Open supply'!$A:$A,$AF39))</f>
        <v/>
      </c>
      <c r="W39" s="8" t="str">
        <f aca="false">IF($A39="","",SUMIFS('Open supply'!$C:$C,'Open supply'!$A:$A,$AF39,'Open supply'!$B:$B,"&lt;"&amp;PlanDate))</f>
        <v/>
      </c>
      <c r="X39" s="8" t="str">
        <f aca="false">IF($A39="","",SUMIFS('Open demand'!$G:$G,'Open demand'!$A:$A,$AF39))</f>
        <v/>
      </c>
      <c r="Y39" s="8" t="str">
        <f aca="false">IF($L39&lt;&gt;"Planned","",N($H39)+$V39-$X39)</f>
        <v/>
      </c>
      <c r="Z39" s="19" t="str">
        <f aca="false">IF($L39&lt;&gt;"Planned","",IF($Y39&lt;=$S39,"Red",IF($Y39&lt;=$T39,"Yellow",IF($Y39&lt;=$U39,"Green","Above green"))))</f>
        <v/>
      </c>
      <c r="AA39" s="22" t="str">
        <f aca="false">IF(OR($L39&lt;&gt;"Planned",N($U39)&lt;=0),"",$Y39/$U39)</f>
        <v/>
      </c>
      <c r="AB39" s="8" t="str">
        <f aca="false">IF($L39&lt;&gt;"Planned","",IF($Y39&lt;=$T39,ROUNDUP(MAX($U39-$Y39,N($E39))/IF(N($F39)&gt;0,$F39,1)-0.000000001,0)*IF(N($F39)&gt;0,$F39,1),""))</f>
        <v/>
      </c>
      <c r="AC39" s="23" t="str">
        <f aca="false">IF(N($AB39)&gt;0,PlanDate+ROUNDUP($D39,0),"")</f>
        <v/>
      </c>
      <c r="AD39" s="19" t="str">
        <f aca="false">IF($L39&lt;&gt;"Planned","",IF(N($H39)&lt;=0,"Stockout",IF(N($H39)&lt;$S39*0.5,"Critical",IF(N($H39)&lt;=$S39,"Low",IF(N($H39)&gt;$U39,"Over top of green","OK")))))</f>
        <v/>
      </c>
      <c r="AE39" s="8" t="str">
        <f aca="false">IF($A39="","",$A39&amp;"")</f>
        <v/>
      </c>
      <c r="AF39" s="8" t="str">
        <f aca="false">IF($A39="","",SUBSTITUTE(SUBSTITUTE(SUBSTITUTE($A39&amp;"","~","~~"),"*","~*"),"?","~?"))</f>
        <v/>
      </c>
    </row>
    <row r="40" customFormat="false" ht="15" hidden="false" customHeight="false" outlineLevel="0" collapsed="false">
      <c r="A40" s="11"/>
      <c r="B40" s="11"/>
      <c r="C40" s="11"/>
      <c r="D40" s="16"/>
      <c r="E40" s="11"/>
      <c r="F40" s="11"/>
      <c r="G40" s="9"/>
      <c r="H40" s="11"/>
      <c r="I40" s="17"/>
      <c r="J40" s="18" t="str">
        <f aca="false">IF($A40="","",IF(COUNT(Usage!$C:$C)=0,"",MAX(0,SUMIFS(Usage!$C:$C,Usage!$A:$A,$AF40,Usage!$B:$B,"&gt;="&amp;(PlanDate-AduWindow),Usage!$B:$B,"&lt;"&amp;PlanDate))/AduWindow))</f>
        <v/>
      </c>
      <c r="K40" s="18" t="str">
        <f aca="false">IF($A40="","",IF(AND(ISNUMBER($I40),N($I40)&gt;=0),$I40,$J40))</f>
        <v/>
      </c>
      <c r="L40" s="19" t="str">
        <f aca="false">IF($A40="","",IF($K40="","Needs ADU",IF($K40&lt;=0,"No recent demand",IF(N($D40)&lt;=0,"Needs lead time","Planned"))))</f>
        <v/>
      </c>
      <c r="M40" s="8" t="str">
        <f aca="false">IF($A40="","",IF(ISNUMBER(MATCH($C40,Profiles!$A$2:$A$100,0)),$C40,DefaultProfile))</f>
        <v/>
      </c>
      <c r="N40" s="20" t="str">
        <f aca="false">IF($A40="","",INDEX(Profiles!$D$2:$D$100,MATCH($M40,Profiles!$A$2:$A$100,0)))</f>
        <v/>
      </c>
      <c r="O40" s="20" t="str">
        <f aca="false">IF($A40="","",INDEX(Profiles!$E$2:$E$100,MATCH($M40,Profiles!$A$2:$A$100,0)))</f>
        <v/>
      </c>
      <c r="P40" s="21" t="str">
        <f aca="false">IF($L40&lt;&gt;"Planned","",$K40*$D40*$N40*(1+$O40))</f>
        <v/>
      </c>
      <c r="Q40" s="21" t="str">
        <f aca="false">IF($L40&lt;&gt;"Planned","",$K40*$D40)</f>
        <v/>
      </c>
      <c r="R40" s="21" t="str">
        <f aca="false">IF($L40&lt;&gt;"Planned","",MAX(N($E40),$K40*$D40*$N40,$K40*N($G40)))</f>
        <v/>
      </c>
      <c r="S40" s="21" t="str">
        <f aca="false">IF($L40&lt;&gt;"Planned","",$P40)</f>
        <v/>
      </c>
      <c r="T40" s="21" t="str">
        <f aca="false">IF($L40&lt;&gt;"Planned","",$P40+$Q40)</f>
        <v/>
      </c>
      <c r="U40" s="21" t="str">
        <f aca="false">IF($L40&lt;&gt;"Planned","",$T40+$R40)</f>
        <v/>
      </c>
      <c r="V40" s="8" t="str">
        <f aca="false">IF($A40="","",SUMIFS('Open supply'!$C:$C,'Open supply'!$A:$A,$AF40))</f>
        <v/>
      </c>
      <c r="W40" s="8" t="str">
        <f aca="false">IF($A40="","",SUMIFS('Open supply'!$C:$C,'Open supply'!$A:$A,$AF40,'Open supply'!$B:$B,"&lt;"&amp;PlanDate))</f>
        <v/>
      </c>
      <c r="X40" s="8" t="str">
        <f aca="false">IF($A40="","",SUMIFS('Open demand'!$G:$G,'Open demand'!$A:$A,$AF40))</f>
        <v/>
      </c>
      <c r="Y40" s="8" t="str">
        <f aca="false">IF($L40&lt;&gt;"Planned","",N($H40)+$V40-$X40)</f>
        <v/>
      </c>
      <c r="Z40" s="19" t="str">
        <f aca="false">IF($L40&lt;&gt;"Planned","",IF($Y40&lt;=$S40,"Red",IF($Y40&lt;=$T40,"Yellow",IF($Y40&lt;=$U40,"Green","Above green"))))</f>
        <v/>
      </c>
      <c r="AA40" s="22" t="str">
        <f aca="false">IF(OR($L40&lt;&gt;"Planned",N($U40)&lt;=0),"",$Y40/$U40)</f>
        <v/>
      </c>
      <c r="AB40" s="8" t="str">
        <f aca="false">IF($L40&lt;&gt;"Planned","",IF($Y40&lt;=$T40,ROUNDUP(MAX($U40-$Y40,N($E40))/IF(N($F40)&gt;0,$F40,1)-0.000000001,0)*IF(N($F40)&gt;0,$F40,1),""))</f>
        <v/>
      </c>
      <c r="AC40" s="23" t="str">
        <f aca="false">IF(N($AB40)&gt;0,PlanDate+ROUNDUP($D40,0),"")</f>
        <v/>
      </c>
      <c r="AD40" s="19" t="str">
        <f aca="false">IF($L40&lt;&gt;"Planned","",IF(N($H40)&lt;=0,"Stockout",IF(N($H40)&lt;$S40*0.5,"Critical",IF(N($H40)&lt;=$S40,"Low",IF(N($H40)&gt;$U40,"Over top of green","OK")))))</f>
        <v/>
      </c>
      <c r="AE40" s="8" t="str">
        <f aca="false">IF($A40="","",$A40&amp;"")</f>
        <v/>
      </c>
      <c r="AF40" s="8" t="str">
        <f aca="false">IF($A40="","",SUBSTITUTE(SUBSTITUTE(SUBSTITUTE($A40&amp;"","~","~~"),"*","~*"),"?","~?"))</f>
        <v/>
      </c>
    </row>
    <row r="41" customFormat="false" ht="15" hidden="false" customHeight="false" outlineLevel="0" collapsed="false">
      <c r="A41" s="11"/>
      <c r="B41" s="11"/>
      <c r="C41" s="11"/>
      <c r="D41" s="16"/>
      <c r="E41" s="11"/>
      <c r="F41" s="11"/>
      <c r="G41" s="9"/>
      <c r="H41" s="11"/>
      <c r="I41" s="17"/>
      <c r="J41" s="18" t="str">
        <f aca="false">IF($A41="","",IF(COUNT(Usage!$C:$C)=0,"",MAX(0,SUMIFS(Usage!$C:$C,Usage!$A:$A,$AF41,Usage!$B:$B,"&gt;="&amp;(PlanDate-AduWindow),Usage!$B:$B,"&lt;"&amp;PlanDate))/AduWindow))</f>
        <v/>
      </c>
      <c r="K41" s="18" t="str">
        <f aca="false">IF($A41="","",IF(AND(ISNUMBER($I41),N($I41)&gt;=0),$I41,$J41))</f>
        <v/>
      </c>
      <c r="L41" s="19" t="str">
        <f aca="false">IF($A41="","",IF($K41="","Needs ADU",IF($K41&lt;=0,"No recent demand",IF(N($D41)&lt;=0,"Needs lead time","Planned"))))</f>
        <v/>
      </c>
      <c r="M41" s="8" t="str">
        <f aca="false">IF($A41="","",IF(ISNUMBER(MATCH($C41,Profiles!$A$2:$A$100,0)),$C41,DefaultProfile))</f>
        <v/>
      </c>
      <c r="N41" s="20" t="str">
        <f aca="false">IF($A41="","",INDEX(Profiles!$D$2:$D$100,MATCH($M41,Profiles!$A$2:$A$100,0)))</f>
        <v/>
      </c>
      <c r="O41" s="20" t="str">
        <f aca="false">IF($A41="","",INDEX(Profiles!$E$2:$E$100,MATCH($M41,Profiles!$A$2:$A$100,0)))</f>
        <v/>
      </c>
      <c r="P41" s="21" t="str">
        <f aca="false">IF($L41&lt;&gt;"Planned","",$K41*$D41*$N41*(1+$O41))</f>
        <v/>
      </c>
      <c r="Q41" s="21" t="str">
        <f aca="false">IF($L41&lt;&gt;"Planned","",$K41*$D41)</f>
        <v/>
      </c>
      <c r="R41" s="21" t="str">
        <f aca="false">IF($L41&lt;&gt;"Planned","",MAX(N($E41),$K41*$D41*$N41,$K41*N($G41)))</f>
        <v/>
      </c>
      <c r="S41" s="21" t="str">
        <f aca="false">IF($L41&lt;&gt;"Planned","",$P41)</f>
        <v/>
      </c>
      <c r="T41" s="21" t="str">
        <f aca="false">IF($L41&lt;&gt;"Planned","",$P41+$Q41)</f>
        <v/>
      </c>
      <c r="U41" s="21" t="str">
        <f aca="false">IF($L41&lt;&gt;"Planned","",$T41+$R41)</f>
        <v/>
      </c>
      <c r="V41" s="8" t="str">
        <f aca="false">IF($A41="","",SUMIFS('Open supply'!$C:$C,'Open supply'!$A:$A,$AF41))</f>
        <v/>
      </c>
      <c r="W41" s="8" t="str">
        <f aca="false">IF($A41="","",SUMIFS('Open supply'!$C:$C,'Open supply'!$A:$A,$AF41,'Open supply'!$B:$B,"&lt;"&amp;PlanDate))</f>
        <v/>
      </c>
      <c r="X41" s="8" t="str">
        <f aca="false">IF($A41="","",SUMIFS('Open demand'!$G:$G,'Open demand'!$A:$A,$AF41))</f>
        <v/>
      </c>
      <c r="Y41" s="8" t="str">
        <f aca="false">IF($L41&lt;&gt;"Planned","",N($H41)+$V41-$X41)</f>
        <v/>
      </c>
      <c r="Z41" s="19" t="str">
        <f aca="false">IF($L41&lt;&gt;"Planned","",IF($Y41&lt;=$S41,"Red",IF($Y41&lt;=$T41,"Yellow",IF($Y41&lt;=$U41,"Green","Above green"))))</f>
        <v/>
      </c>
      <c r="AA41" s="22" t="str">
        <f aca="false">IF(OR($L41&lt;&gt;"Planned",N($U41)&lt;=0),"",$Y41/$U41)</f>
        <v/>
      </c>
      <c r="AB41" s="8" t="str">
        <f aca="false">IF($L41&lt;&gt;"Planned","",IF($Y41&lt;=$T41,ROUNDUP(MAX($U41-$Y41,N($E41))/IF(N($F41)&gt;0,$F41,1)-0.000000001,0)*IF(N($F41)&gt;0,$F41,1),""))</f>
        <v/>
      </c>
      <c r="AC41" s="23" t="str">
        <f aca="false">IF(N($AB41)&gt;0,PlanDate+ROUNDUP($D41,0),"")</f>
        <v/>
      </c>
      <c r="AD41" s="19" t="str">
        <f aca="false">IF($L41&lt;&gt;"Planned","",IF(N($H41)&lt;=0,"Stockout",IF(N($H41)&lt;$S41*0.5,"Critical",IF(N($H41)&lt;=$S41,"Low",IF(N($H41)&gt;$U41,"Over top of green","OK")))))</f>
        <v/>
      </c>
      <c r="AE41" s="8" t="str">
        <f aca="false">IF($A41="","",$A41&amp;"")</f>
        <v/>
      </c>
      <c r="AF41" s="8" t="str">
        <f aca="false">IF($A41="","",SUBSTITUTE(SUBSTITUTE(SUBSTITUTE($A41&amp;"","~","~~"),"*","~*"),"?","~?"))</f>
        <v/>
      </c>
    </row>
    <row r="42" customFormat="false" ht="15" hidden="false" customHeight="false" outlineLevel="0" collapsed="false">
      <c r="A42" s="11"/>
      <c r="B42" s="11"/>
      <c r="C42" s="11"/>
      <c r="D42" s="16"/>
      <c r="E42" s="11"/>
      <c r="F42" s="11"/>
      <c r="G42" s="9"/>
      <c r="H42" s="11"/>
      <c r="I42" s="17"/>
      <c r="J42" s="18" t="str">
        <f aca="false">IF($A42="","",IF(COUNT(Usage!$C:$C)=0,"",MAX(0,SUMIFS(Usage!$C:$C,Usage!$A:$A,$AF42,Usage!$B:$B,"&gt;="&amp;(PlanDate-AduWindow),Usage!$B:$B,"&lt;"&amp;PlanDate))/AduWindow))</f>
        <v/>
      </c>
      <c r="K42" s="18" t="str">
        <f aca="false">IF($A42="","",IF(AND(ISNUMBER($I42),N($I42)&gt;=0),$I42,$J42))</f>
        <v/>
      </c>
      <c r="L42" s="19" t="str">
        <f aca="false">IF($A42="","",IF($K42="","Needs ADU",IF($K42&lt;=0,"No recent demand",IF(N($D42)&lt;=0,"Needs lead time","Planned"))))</f>
        <v/>
      </c>
      <c r="M42" s="8" t="str">
        <f aca="false">IF($A42="","",IF(ISNUMBER(MATCH($C42,Profiles!$A$2:$A$100,0)),$C42,DefaultProfile))</f>
        <v/>
      </c>
      <c r="N42" s="20" t="str">
        <f aca="false">IF($A42="","",INDEX(Profiles!$D$2:$D$100,MATCH($M42,Profiles!$A$2:$A$100,0)))</f>
        <v/>
      </c>
      <c r="O42" s="20" t="str">
        <f aca="false">IF($A42="","",INDEX(Profiles!$E$2:$E$100,MATCH($M42,Profiles!$A$2:$A$100,0)))</f>
        <v/>
      </c>
      <c r="P42" s="21" t="str">
        <f aca="false">IF($L42&lt;&gt;"Planned","",$K42*$D42*$N42*(1+$O42))</f>
        <v/>
      </c>
      <c r="Q42" s="21" t="str">
        <f aca="false">IF($L42&lt;&gt;"Planned","",$K42*$D42)</f>
        <v/>
      </c>
      <c r="R42" s="21" t="str">
        <f aca="false">IF($L42&lt;&gt;"Planned","",MAX(N($E42),$K42*$D42*$N42,$K42*N($G42)))</f>
        <v/>
      </c>
      <c r="S42" s="21" t="str">
        <f aca="false">IF($L42&lt;&gt;"Planned","",$P42)</f>
        <v/>
      </c>
      <c r="T42" s="21" t="str">
        <f aca="false">IF($L42&lt;&gt;"Planned","",$P42+$Q42)</f>
        <v/>
      </c>
      <c r="U42" s="21" t="str">
        <f aca="false">IF($L42&lt;&gt;"Planned","",$T42+$R42)</f>
        <v/>
      </c>
      <c r="V42" s="8" t="str">
        <f aca="false">IF($A42="","",SUMIFS('Open supply'!$C:$C,'Open supply'!$A:$A,$AF42))</f>
        <v/>
      </c>
      <c r="W42" s="8" t="str">
        <f aca="false">IF($A42="","",SUMIFS('Open supply'!$C:$C,'Open supply'!$A:$A,$AF42,'Open supply'!$B:$B,"&lt;"&amp;PlanDate))</f>
        <v/>
      </c>
      <c r="X42" s="8" t="str">
        <f aca="false">IF($A42="","",SUMIFS('Open demand'!$G:$G,'Open demand'!$A:$A,$AF42))</f>
        <v/>
      </c>
      <c r="Y42" s="8" t="str">
        <f aca="false">IF($L42&lt;&gt;"Planned","",N($H42)+$V42-$X42)</f>
        <v/>
      </c>
      <c r="Z42" s="19" t="str">
        <f aca="false">IF($L42&lt;&gt;"Planned","",IF($Y42&lt;=$S42,"Red",IF($Y42&lt;=$T42,"Yellow",IF($Y42&lt;=$U42,"Green","Above green"))))</f>
        <v/>
      </c>
      <c r="AA42" s="22" t="str">
        <f aca="false">IF(OR($L42&lt;&gt;"Planned",N($U42)&lt;=0),"",$Y42/$U42)</f>
        <v/>
      </c>
      <c r="AB42" s="8" t="str">
        <f aca="false">IF($L42&lt;&gt;"Planned","",IF($Y42&lt;=$T42,ROUNDUP(MAX($U42-$Y42,N($E42))/IF(N($F42)&gt;0,$F42,1)-0.000000001,0)*IF(N($F42)&gt;0,$F42,1),""))</f>
        <v/>
      </c>
      <c r="AC42" s="23" t="str">
        <f aca="false">IF(N($AB42)&gt;0,PlanDate+ROUNDUP($D42,0),"")</f>
        <v/>
      </c>
      <c r="AD42" s="19" t="str">
        <f aca="false">IF($L42&lt;&gt;"Planned","",IF(N($H42)&lt;=0,"Stockout",IF(N($H42)&lt;$S42*0.5,"Critical",IF(N($H42)&lt;=$S42,"Low",IF(N($H42)&gt;$U42,"Over top of green","OK")))))</f>
        <v/>
      </c>
      <c r="AE42" s="8" t="str">
        <f aca="false">IF($A42="","",$A42&amp;"")</f>
        <v/>
      </c>
      <c r="AF42" s="8" t="str">
        <f aca="false">IF($A42="","",SUBSTITUTE(SUBSTITUTE(SUBSTITUTE($A42&amp;"","~","~~"),"*","~*"),"?","~?"))</f>
        <v/>
      </c>
    </row>
    <row r="43" customFormat="false" ht="15" hidden="false" customHeight="false" outlineLevel="0" collapsed="false">
      <c r="A43" s="11"/>
      <c r="B43" s="11"/>
      <c r="C43" s="11"/>
      <c r="D43" s="16"/>
      <c r="E43" s="11"/>
      <c r="F43" s="11"/>
      <c r="G43" s="9"/>
      <c r="H43" s="11"/>
      <c r="I43" s="17"/>
      <c r="J43" s="18" t="str">
        <f aca="false">IF($A43="","",IF(COUNT(Usage!$C:$C)=0,"",MAX(0,SUMIFS(Usage!$C:$C,Usage!$A:$A,$AF43,Usage!$B:$B,"&gt;="&amp;(PlanDate-AduWindow),Usage!$B:$B,"&lt;"&amp;PlanDate))/AduWindow))</f>
        <v/>
      </c>
      <c r="K43" s="18" t="str">
        <f aca="false">IF($A43="","",IF(AND(ISNUMBER($I43),N($I43)&gt;=0),$I43,$J43))</f>
        <v/>
      </c>
      <c r="L43" s="19" t="str">
        <f aca="false">IF($A43="","",IF($K43="","Needs ADU",IF($K43&lt;=0,"No recent demand",IF(N($D43)&lt;=0,"Needs lead time","Planned"))))</f>
        <v/>
      </c>
      <c r="M43" s="8" t="str">
        <f aca="false">IF($A43="","",IF(ISNUMBER(MATCH($C43,Profiles!$A$2:$A$100,0)),$C43,DefaultProfile))</f>
        <v/>
      </c>
      <c r="N43" s="20" t="str">
        <f aca="false">IF($A43="","",INDEX(Profiles!$D$2:$D$100,MATCH($M43,Profiles!$A$2:$A$100,0)))</f>
        <v/>
      </c>
      <c r="O43" s="20" t="str">
        <f aca="false">IF($A43="","",INDEX(Profiles!$E$2:$E$100,MATCH($M43,Profiles!$A$2:$A$100,0)))</f>
        <v/>
      </c>
      <c r="P43" s="21" t="str">
        <f aca="false">IF($L43&lt;&gt;"Planned","",$K43*$D43*$N43*(1+$O43))</f>
        <v/>
      </c>
      <c r="Q43" s="21" t="str">
        <f aca="false">IF($L43&lt;&gt;"Planned","",$K43*$D43)</f>
        <v/>
      </c>
      <c r="R43" s="21" t="str">
        <f aca="false">IF($L43&lt;&gt;"Planned","",MAX(N($E43),$K43*$D43*$N43,$K43*N($G43)))</f>
        <v/>
      </c>
      <c r="S43" s="21" t="str">
        <f aca="false">IF($L43&lt;&gt;"Planned","",$P43)</f>
        <v/>
      </c>
      <c r="T43" s="21" t="str">
        <f aca="false">IF($L43&lt;&gt;"Planned","",$P43+$Q43)</f>
        <v/>
      </c>
      <c r="U43" s="21" t="str">
        <f aca="false">IF($L43&lt;&gt;"Planned","",$T43+$R43)</f>
        <v/>
      </c>
      <c r="V43" s="8" t="str">
        <f aca="false">IF($A43="","",SUMIFS('Open supply'!$C:$C,'Open supply'!$A:$A,$AF43))</f>
        <v/>
      </c>
      <c r="W43" s="8" t="str">
        <f aca="false">IF($A43="","",SUMIFS('Open supply'!$C:$C,'Open supply'!$A:$A,$AF43,'Open supply'!$B:$B,"&lt;"&amp;PlanDate))</f>
        <v/>
      </c>
      <c r="X43" s="8" t="str">
        <f aca="false">IF($A43="","",SUMIFS('Open demand'!$G:$G,'Open demand'!$A:$A,$AF43))</f>
        <v/>
      </c>
      <c r="Y43" s="8" t="str">
        <f aca="false">IF($L43&lt;&gt;"Planned","",N($H43)+$V43-$X43)</f>
        <v/>
      </c>
      <c r="Z43" s="19" t="str">
        <f aca="false">IF($L43&lt;&gt;"Planned","",IF($Y43&lt;=$S43,"Red",IF($Y43&lt;=$T43,"Yellow",IF($Y43&lt;=$U43,"Green","Above green"))))</f>
        <v/>
      </c>
      <c r="AA43" s="22" t="str">
        <f aca="false">IF(OR($L43&lt;&gt;"Planned",N($U43)&lt;=0),"",$Y43/$U43)</f>
        <v/>
      </c>
      <c r="AB43" s="8" t="str">
        <f aca="false">IF($L43&lt;&gt;"Planned","",IF($Y43&lt;=$T43,ROUNDUP(MAX($U43-$Y43,N($E43))/IF(N($F43)&gt;0,$F43,1)-0.000000001,0)*IF(N($F43)&gt;0,$F43,1),""))</f>
        <v/>
      </c>
      <c r="AC43" s="23" t="str">
        <f aca="false">IF(N($AB43)&gt;0,PlanDate+ROUNDUP($D43,0),"")</f>
        <v/>
      </c>
      <c r="AD43" s="19" t="str">
        <f aca="false">IF($L43&lt;&gt;"Planned","",IF(N($H43)&lt;=0,"Stockout",IF(N($H43)&lt;$S43*0.5,"Critical",IF(N($H43)&lt;=$S43,"Low",IF(N($H43)&gt;$U43,"Over top of green","OK")))))</f>
        <v/>
      </c>
      <c r="AE43" s="8" t="str">
        <f aca="false">IF($A43="","",$A43&amp;"")</f>
        <v/>
      </c>
      <c r="AF43" s="8" t="str">
        <f aca="false">IF($A43="","",SUBSTITUTE(SUBSTITUTE(SUBSTITUTE($A43&amp;"","~","~~"),"*","~*"),"?","~?"))</f>
        <v/>
      </c>
    </row>
    <row r="44" customFormat="false" ht="15" hidden="false" customHeight="false" outlineLevel="0" collapsed="false">
      <c r="A44" s="11"/>
      <c r="B44" s="11"/>
      <c r="C44" s="11"/>
      <c r="D44" s="16"/>
      <c r="E44" s="11"/>
      <c r="F44" s="11"/>
      <c r="G44" s="9"/>
      <c r="H44" s="11"/>
      <c r="I44" s="17"/>
      <c r="J44" s="18" t="str">
        <f aca="false">IF($A44="","",IF(COUNT(Usage!$C:$C)=0,"",MAX(0,SUMIFS(Usage!$C:$C,Usage!$A:$A,$AF44,Usage!$B:$B,"&gt;="&amp;(PlanDate-AduWindow),Usage!$B:$B,"&lt;"&amp;PlanDate))/AduWindow))</f>
        <v/>
      </c>
      <c r="K44" s="18" t="str">
        <f aca="false">IF($A44="","",IF(AND(ISNUMBER($I44),N($I44)&gt;=0),$I44,$J44))</f>
        <v/>
      </c>
      <c r="L44" s="19" t="str">
        <f aca="false">IF($A44="","",IF($K44="","Needs ADU",IF($K44&lt;=0,"No recent demand",IF(N($D44)&lt;=0,"Needs lead time","Planned"))))</f>
        <v/>
      </c>
      <c r="M44" s="8" t="str">
        <f aca="false">IF($A44="","",IF(ISNUMBER(MATCH($C44,Profiles!$A$2:$A$100,0)),$C44,DefaultProfile))</f>
        <v/>
      </c>
      <c r="N44" s="20" t="str">
        <f aca="false">IF($A44="","",INDEX(Profiles!$D$2:$D$100,MATCH($M44,Profiles!$A$2:$A$100,0)))</f>
        <v/>
      </c>
      <c r="O44" s="20" t="str">
        <f aca="false">IF($A44="","",INDEX(Profiles!$E$2:$E$100,MATCH($M44,Profiles!$A$2:$A$100,0)))</f>
        <v/>
      </c>
      <c r="P44" s="21" t="str">
        <f aca="false">IF($L44&lt;&gt;"Planned","",$K44*$D44*$N44*(1+$O44))</f>
        <v/>
      </c>
      <c r="Q44" s="21" t="str">
        <f aca="false">IF($L44&lt;&gt;"Planned","",$K44*$D44)</f>
        <v/>
      </c>
      <c r="R44" s="21" t="str">
        <f aca="false">IF($L44&lt;&gt;"Planned","",MAX(N($E44),$K44*$D44*$N44,$K44*N($G44)))</f>
        <v/>
      </c>
      <c r="S44" s="21" t="str">
        <f aca="false">IF($L44&lt;&gt;"Planned","",$P44)</f>
        <v/>
      </c>
      <c r="T44" s="21" t="str">
        <f aca="false">IF($L44&lt;&gt;"Planned","",$P44+$Q44)</f>
        <v/>
      </c>
      <c r="U44" s="21" t="str">
        <f aca="false">IF($L44&lt;&gt;"Planned","",$T44+$R44)</f>
        <v/>
      </c>
      <c r="V44" s="8" t="str">
        <f aca="false">IF($A44="","",SUMIFS('Open supply'!$C:$C,'Open supply'!$A:$A,$AF44))</f>
        <v/>
      </c>
      <c r="W44" s="8" t="str">
        <f aca="false">IF($A44="","",SUMIFS('Open supply'!$C:$C,'Open supply'!$A:$A,$AF44,'Open supply'!$B:$B,"&lt;"&amp;PlanDate))</f>
        <v/>
      </c>
      <c r="X44" s="8" t="str">
        <f aca="false">IF($A44="","",SUMIFS('Open demand'!$G:$G,'Open demand'!$A:$A,$AF44))</f>
        <v/>
      </c>
      <c r="Y44" s="8" t="str">
        <f aca="false">IF($L44&lt;&gt;"Planned","",N($H44)+$V44-$X44)</f>
        <v/>
      </c>
      <c r="Z44" s="19" t="str">
        <f aca="false">IF($L44&lt;&gt;"Planned","",IF($Y44&lt;=$S44,"Red",IF($Y44&lt;=$T44,"Yellow",IF($Y44&lt;=$U44,"Green","Above green"))))</f>
        <v/>
      </c>
      <c r="AA44" s="22" t="str">
        <f aca="false">IF(OR($L44&lt;&gt;"Planned",N($U44)&lt;=0),"",$Y44/$U44)</f>
        <v/>
      </c>
      <c r="AB44" s="8" t="str">
        <f aca="false">IF($L44&lt;&gt;"Planned","",IF($Y44&lt;=$T44,ROUNDUP(MAX($U44-$Y44,N($E44))/IF(N($F44)&gt;0,$F44,1)-0.000000001,0)*IF(N($F44)&gt;0,$F44,1),""))</f>
        <v/>
      </c>
      <c r="AC44" s="23" t="str">
        <f aca="false">IF(N($AB44)&gt;0,PlanDate+ROUNDUP($D44,0),"")</f>
        <v/>
      </c>
      <c r="AD44" s="19" t="str">
        <f aca="false">IF($L44&lt;&gt;"Planned","",IF(N($H44)&lt;=0,"Stockout",IF(N($H44)&lt;$S44*0.5,"Critical",IF(N($H44)&lt;=$S44,"Low",IF(N($H44)&gt;$U44,"Over top of green","OK")))))</f>
        <v/>
      </c>
      <c r="AE44" s="8" t="str">
        <f aca="false">IF($A44="","",$A44&amp;"")</f>
        <v/>
      </c>
      <c r="AF44" s="8" t="str">
        <f aca="false">IF($A44="","",SUBSTITUTE(SUBSTITUTE(SUBSTITUTE($A44&amp;"","~","~~"),"*","~*"),"?","~?"))</f>
        <v/>
      </c>
    </row>
    <row r="45" customFormat="false" ht="15" hidden="false" customHeight="false" outlineLevel="0" collapsed="false">
      <c r="A45" s="11"/>
      <c r="B45" s="11"/>
      <c r="C45" s="11"/>
      <c r="D45" s="16"/>
      <c r="E45" s="11"/>
      <c r="F45" s="11"/>
      <c r="G45" s="9"/>
      <c r="H45" s="11"/>
      <c r="I45" s="17"/>
      <c r="J45" s="18" t="str">
        <f aca="false">IF($A45="","",IF(COUNT(Usage!$C:$C)=0,"",MAX(0,SUMIFS(Usage!$C:$C,Usage!$A:$A,$AF45,Usage!$B:$B,"&gt;="&amp;(PlanDate-AduWindow),Usage!$B:$B,"&lt;"&amp;PlanDate))/AduWindow))</f>
        <v/>
      </c>
      <c r="K45" s="18" t="str">
        <f aca="false">IF($A45="","",IF(AND(ISNUMBER($I45),N($I45)&gt;=0),$I45,$J45))</f>
        <v/>
      </c>
      <c r="L45" s="19" t="str">
        <f aca="false">IF($A45="","",IF($K45="","Needs ADU",IF($K45&lt;=0,"No recent demand",IF(N($D45)&lt;=0,"Needs lead time","Planned"))))</f>
        <v/>
      </c>
      <c r="M45" s="8" t="str">
        <f aca="false">IF($A45="","",IF(ISNUMBER(MATCH($C45,Profiles!$A$2:$A$100,0)),$C45,DefaultProfile))</f>
        <v/>
      </c>
      <c r="N45" s="20" t="str">
        <f aca="false">IF($A45="","",INDEX(Profiles!$D$2:$D$100,MATCH($M45,Profiles!$A$2:$A$100,0)))</f>
        <v/>
      </c>
      <c r="O45" s="20" t="str">
        <f aca="false">IF($A45="","",INDEX(Profiles!$E$2:$E$100,MATCH($M45,Profiles!$A$2:$A$100,0)))</f>
        <v/>
      </c>
      <c r="P45" s="21" t="str">
        <f aca="false">IF($L45&lt;&gt;"Planned","",$K45*$D45*$N45*(1+$O45))</f>
        <v/>
      </c>
      <c r="Q45" s="21" t="str">
        <f aca="false">IF($L45&lt;&gt;"Planned","",$K45*$D45)</f>
        <v/>
      </c>
      <c r="R45" s="21" t="str">
        <f aca="false">IF($L45&lt;&gt;"Planned","",MAX(N($E45),$K45*$D45*$N45,$K45*N($G45)))</f>
        <v/>
      </c>
      <c r="S45" s="21" t="str">
        <f aca="false">IF($L45&lt;&gt;"Planned","",$P45)</f>
        <v/>
      </c>
      <c r="T45" s="21" t="str">
        <f aca="false">IF($L45&lt;&gt;"Planned","",$P45+$Q45)</f>
        <v/>
      </c>
      <c r="U45" s="21" t="str">
        <f aca="false">IF($L45&lt;&gt;"Planned","",$T45+$R45)</f>
        <v/>
      </c>
      <c r="V45" s="8" t="str">
        <f aca="false">IF($A45="","",SUMIFS('Open supply'!$C:$C,'Open supply'!$A:$A,$AF45))</f>
        <v/>
      </c>
      <c r="W45" s="8" t="str">
        <f aca="false">IF($A45="","",SUMIFS('Open supply'!$C:$C,'Open supply'!$A:$A,$AF45,'Open supply'!$B:$B,"&lt;"&amp;PlanDate))</f>
        <v/>
      </c>
      <c r="X45" s="8" t="str">
        <f aca="false">IF($A45="","",SUMIFS('Open demand'!$G:$G,'Open demand'!$A:$A,$AF45))</f>
        <v/>
      </c>
      <c r="Y45" s="8" t="str">
        <f aca="false">IF($L45&lt;&gt;"Planned","",N($H45)+$V45-$X45)</f>
        <v/>
      </c>
      <c r="Z45" s="19" t="str">
        <f aca="false">IF($L45&lt;&gt;"Planned","",IF($Y45&lt;=$S45,"Red",IF($Y45&lt;=$T45,"Yellow",IF($Y45&lt;=$U45,"Green","Above green"))))</f>
        <v/>
      </c>
      <c r="AA45" s="22" t="str">
        <f aca="false">IF(OR($L45&lt;&gt;"Planned",N($U45)&lt;=0),"",$Y45/$U45)</f>
        <v/>
      </c>
      <c r="AB45" s="8" t="str">
        <f aca="false">IF($L45&lt;&gt;"Planned","",IF($Y45&lt;=$T45,ROUNDUP(MAX($U45-$Y45,N($E45))/IF(N($F45)&gt;0,$F45,1)-0.000000001,0)*IF(N($F45)&gt;0,$F45,1),""))</f>
        <v/>
      </c>
      <c r="AC45" s="23" t="str">
        <f aca="false">IF(N($AB45)&gt;0,PlanDate+ROUNDUP($D45,0),"")</f>
        <v/>
      </c>
      <c r="AD45" s="19" t="str">
        <f aca="false">IF($L45&lt;&gt;"Planned","",IF(N($H45)&lt;=0,"Stockout",IF(N($H45)&lt;$S45*0.5,"Critical",IF(N($H45)&lt;=$S45,"Low",IF(N($H45)&gt;$U45,"Over top of green","OK")))))</f>
        <v/>
      </c>
      <c r="AE45" s="8" t="str">
        <f aca="false">IF($A45="","",$A45&amp;"")</f>
        <v/>
      </c>
      <c r="AF45" s="8" t="str">
        <f aca="false">IF($A45="","",SUBSTITUTE(SUBSTITUTE(SUBSTITUTE($A45&amp;"","~","~~"),"*","~*"),"?","~?"))</f>
        <v/>
      </c>
    </row>
    <row r="46" customFormat="false" ht="15" hidden="false" customHeight="false" outlineLevel="0" collapsed="false">
      <c r="A46" s="11"/>
      <c r="B46" s="11"/>
      <c r="C46" s="11"/>
      <c r="D46" s="16"/>
      <c r="E46" s="11"/>
      <c r="F46" s="11"/>
      <c r="G46" s="9"/>
      <c r="H46" s="11"/>
      <c r="I46" s="17"/>
      <c r="J46" s="18" t="str">
        <f aca="false">IF($A46="","",IF(COUNT(Usage!$C:$C)=0,"",MAX(0,SUMIFS(Usage!$C:$C,Usage!$A:$A,$AF46,Usage!$B:$B,"&gt;="&amp;(PlanDate-AduWindow),Usage!$B:$B,"&lt;"&amp;PlanDate))/AduWindow))</f>
        <v/>
      </c>
      <c r="K46" s="18" t="str">
        <f aca="false">IF($A46="","",IF(AND(ISNUMBER($I46),N($I46)&gt;=0),$I46,$J46))</f>
        <v/>
      </c>
      <c r="L46" s="19" t="str">
        <f aca="false">IF($A46="","",IF($K46="","Needs ADU",IF($K46&lt;=0,"No recent demand",IF(N($D46)&lt;=0,"Needs lead time","Planned"))))</f>
        <v/>
      </c>
      <c r="M46" s="8" t="str">
        <f aca="false">IF($A46="","",IF(ISNUMBER(MATCH($C46,Profiles!$A$2:$A$100,0)),$C46,DefaultProfile))</f>
        <v/>
      </c>
      <c r="N46" s="20" t="str">
        <f aca="false">IF($A46="","",INDEX(Profiles!$D$2:$D$100,MATCH($M46,Profiles!$A$2:$A$100,0)))</f>
        <v/>
      </c>
      <c r="O46" s="20" t="str">
        <f aca="false">IF($A46="","",INDEX(Profiles!$E$2:$E$100,MATCH($M46,Profiles!$A$2:$A$100,0)))</f>
        <v/>
      </c>
      <c r="P46" s="21" t="str">
        <f aca="false">IF($L46&lt;&gt;"Planned","",$K46*$D46*$N46*(1+$O46))</f>
        <v/>
      </c>
      <c r="Q46" s="21" t="str">
        <f aca="false">IF($L46&lt;&gt;"Planned","",$K46*$D46)</f>
        <v/>
      </c>
      <c r="R46" s="21" t="str">
        <f aca="false">IF($L46&lt;&gt;"Planned","",MAX(N($E46),$K46*$D46*$N46,$K46*N($G46)))</f>
        <v/>
      </c>
      <c r="S46" s="21" t="str">
        <f aca="false">IF($L46&lt;&gt;"Planned","",$P46)</f>
        <v/>
      </c>
      <c r="T46" s="21" t="str">
        <f aca="false">IF($L46&lt;&gt;"Planned","",$P46+$Q46)</f>
        <v/>
      </c>
      <c r="U46" s="21" t="str">
        <f aca="false">IF($L46&lt;&gt;"Planned","",$T46+$R46)</f>
        <v/>
      </c>
      <c r="V46" s="8" t="str">
        <f aca="false">IF($A46="","",SUMIFS('Open supply'!$C:$C,'Open supply'!$A:$A,$AF46))</f>
        <v/>
      </c>
      <c r="W46" s="8" t="str">
        <f aca="false">IF($A46="","",SUMIFS('Open supply'!$C:$C,'Open supply'!$A:$A,$AF46,'Open supply'!$B:$B,"&lt;"&amp;PlanDate))</f>
        <v/>
      </c>
      <c r="X46" s="8" t="str">
        <f aca="false">IF($A46="","",SUMIFS('Open demand'!$G:$G,'Open demand'!$A:$A,$AF46))</f>
        <v/>
      </c>
      <c r="Y46" s="8" t="str">
        <f aca="false">IF($L46&lt;&gt;"Planned","",N($H46)+$V46-$X46)</f>
        <v/>
      </c>
      <c r="Z46" s="19" t="str">
        <f aca="false">IF($L46&lt;&gt;"Planned","",IF($Y46&lt;=$S46,"Red",IF($Y46&lt;=$T46,"Yellow",IF($Y46&lt;=$U46,"Green","Above green"))))</f>
        <v/>
      </c>
      <c r="AA46" s="22" t="str">
        <f aca="false">IF(OR($L46&lt;&gt;"Planned",N($U46)&lt;=0),"",$Y46/$U46)</f>
        <v/>
      </c>
      <c r="AB46" s="8" t="str">
        <f aca="false">IF($L46&lt;&gt;"Planned","",IF($Y46&lt;=$T46,ROUNDUP(MAX($U46-$Y46,N($E46))/IF(N($F46)&gt;0,$F46,1)-0.000000001,0)*IF(N($F46)&gt;0,$F46,1),""))</f>
        <v/>
      </c>
      <c r="AC46" s="23" t="str">
        <f aca="false">IF(N($AB46)&gt;0,PlanDate+ROUNDUP($D46,0),"")</f>
        <v/>
      </c>
      <c r="AD46" s="19" t="str">
        <f aca="false">IF($L46&lt;&gt;"Planned","",IF(N($H46)&lt;=0,"Stockout",IF(N($H46)&lt;$S46*0.5,"Critical",IF(N($H46)&lt;=$S46,"Low",IF(N($H46)&gt;$U46,"Over top of green","OK")))))</f>
        <v/>
      </c>
      <c r="AE46" s="8" t="str">
        <f aca="false">IF($A46="","",$A46&amp;"")</f>
        <v/>
      </c>
      <c r="AF46" s="8" t="str">
        <f aca="false">IF($A46="","",SUBSTITUTE(SUBSTITUTE(SUBSTITUTE($A46&amp;"","~","~~"),"*","~*"),"?","~?"))</f>
        <v/>
      </c>
    </row>
    <row r="47" customFormat="false" ht="15" hidden="false" customHeight="false" outlineLevel="0" collapsed="false">
      <c r="A47" s="11"/>
      <c r="B47" s="11"/>
      <c r="C47" s="11"/>
      <c r="D47" s="16"/>
      <c r="E47" s="11"/>
      <c r="F47" s="11"/>
      <c r="G47" s="9"/>
      <c r="H47" s="11"/>
      <c r="I47" s="17"/>
      <c r="J47" s="18" t="str">
        <f aca="false">IF($A47="","",IF(COUNT(Usage!$C:$C)=0,"",MAX(0,SUMIFS(Usage!$C:$C,Usage!$A:$A,$AF47,Usage!$B:$B,"&gt;="&amp;(PlanDate-AduWindow),Usage!$B:$B,"&lt;"&amp;PlanDate))/AduWindow))</f>
        <v/>
      </c>
      <c r="K47" s="18" t="str">
        <f aca="false">IF($A47="","",IF(AND(ISNUMBER($I47),N($I47)&gt;=0),$I47,$J47))</f>
        <v/>
      </c>
      <c r="L47" s="19" t="str">
        <f aca="false">IF($A47="","",IF($K47="","Needs ADU",IF($K47&lt;=0,"No recent demand",IF(N($D47)&lt;=0,"Needs lead time","Planned"))))</f>
        <v/>
      </c>
      <c r="M47" s="8" t="str">
        <f aca="false">IF($A47="","",IF(ISNUMBER(MATCH($C47,Profiles!$A$2:$A$100,0)),$C47,DefaultProfile))</f>
        <v/>
      </c>
      <c r="N47" s="20" t="str">
        <f aca="false">IF($A47="","",INDEX(Profiles!$D$2:$D$100,MATCH($M47,Profiles!$A$2:$A$100,0)))</f>
        <v/>
      </c>
      <c r="O47" s="20" t="str">
        <f aca="false">IF($A47="","",INDEX(Profiles!$E$2:$E$100,MATCH($M47,Profiles!$A$2:$A$100,0)))</f>
        <v/>
      </c>
      <c r="P47" s="21" t="str">
        <f aca="false">IF($L47&lt;&gt;"Planned","",$K47*$D47*$N47*(1+$O47))</f>
        <v/>
      </c>
      <c r="Q47" s="21" t="str">
        <f aca="false">IF($L47&lt;&gt;"Planned","",$K47*$D47)</f>
        <v/>
      </c>
      <c r="R47" s="21" t="str">
        <f aca="false">IF($L47&lt;&gt;"Planned","",MAX(N($E47),$K47*$D47*$N47,$K47*N($G47)))</f>
        <v/>
      </c>
      <c r="S47" s="21" t="str">
        <f aca="false">IF($L47&lt;&gt;"Planned","",$P47)</f>
        <v/>
      </c>
      <c r="T47" s="21" t="str">
        <f aca="false">IF($L47&lt;&gt;"Planned","",$P47+$Q47)</f>
        <v/>
      </c>
      <c r="U47" s="21" t="str">
        <f aca="false">IF($L47&lt;&gt;"Planned","",$T47+$R47)</f>
        <v/>
      </c>
      <c r="V47" s="8" t="str">
        <f aca="false">IF($A47="","",SUMIFS('Open supply'!$C:$C,'Open supply'!$A:$A,$AF47))</f>
        <v/>
      </c>
      <c r="W47" s="8" t="str">
        <f aca="false">IF($A47="","",SUMIFS('Open supply'!$C:$C,'Open supply'!$A:$A,$AF47,'Open supply'!$B:$B,"&lt;"&amp;PlanDate))</f>
        <v/>
      </c>
      <c r="X47" s="8" t="str">
        <f aca="false">IF($A47="","",SUMIFS('Open demand'!$G:$G,'Open demand'!$A:$A,$AF47))</f>
        <v/>
      </c>
      <c r="Y47" s="8" t="str">
        <f aca="false">IF($L47&lt;&gt;"Planned","",N($H47)+$V47-$X47)</f>
        <v/>
      </c>
      <c r="Z47" s="19" t="str">
        <f aca="false">IF($L47&lt;&gt;"Planned","",IF($Y47&lt;=$S47,"Red",IF($Y47&lt;=$T47,"Yellow",IF($Y47&lt;=$U47,"Green","Above green"))))</f>
        <v/>
      </c>
      <c r="AA47" s="22" t="str">
        <f aca="false">IF(OR($L47&lt;&gt;"Planned",N($U47)&lt;=0),"",$Y47/$U47)</f>
        <v/>
      </c>
      <c r="AB47" s="8" t="str">
        <f aca="false">IF($L47&lt;&gt;"Planned","",IF($Y47&lt;=$T47,ROUNDUP(MAX($U47-$Y47,N($E47))/IF(N($F47)&gt;0,$F47,1)-0.000000001,0)*IF(N($F47)&gt;0,$F47,1),""))</f>
        <v/>
      </c>
      <c r="AC47" s="23" t="str">
        <f aca="false">IF(N($AB47)&gt;0,PlanDate+ROUNDUP($D47,0),"")</f>
        <v/>
      </c>
      <c r="AD47" s="19" t="str">
        <f aca="false">IF($L47&lt;&gt;"Planned","",IF(N($H47)&lt;=0,"Stockout",IF(N($H47)&lt;$S47*0.5,"Critical",IF(N($H47)&lt;=$S47,"Low",IF(N($H47)&gt;$U47,"Over top of green","OK")))))</f>
        <v/>
      </c>
      <c r="AE47" s="8" t="str">
        <f aca="false">IF($A47="","",$A47&amp;"")</f>
        <v/>
      </c>
      <c r="AF47" s="8" t="str">
        <f aca="false">IF($A47="","",SUBSTITUTE(SUBSTITUTE(SUBSTITUTE($A47&amp;"","~","~~"),"*","~*"),"?","~?"))</f>
        <v/>
      </c>
    </row>
    <row r="48" customFormat="false" ht="15" hidden="false" customHeight="false" outlineLevel="0" collapsed="false">
      <c r="A48" s="11"/>
      <c r="B48" s="11"/>
      <c r="C48" s="11"/>
      <c r="D48" s="16"/>
      <c r="E48" s="11"/>
      <c r="F48" s="11"/>
      <c r="G48" s="9"/>
      <c r="H48" s="11"/>
      <c r="I48" s="17"/>
      <c r="J48" s="18" t="str">
        <f aca="false">IF($A48="","",IF(COUNT(Usage!$C:$C)=0,"",MAX(0,SUMIFS(Usage!$C:$C,Usage!$A:$A,$AF48,Usage!$B:$B,"&gt;="&amp;(PlanDate-AduWindow),Usage!$B:$B,"&lt;"&amp;PlanDate))/AduWindow))</f>
        <v/>
      </c>
      <c r="K48" s="18" t="str">
        <f aca="false">IF($A48="","",IF(AND(ISNUMBER($I48),N($I48)&gt;=0),$I48,$J48))</f>
        <v/>
      </c>
      <c r="L48" s="19" t="str">
        <f aca="false">IF($A48="","",IF($K48="","Needs ADU",IF($K48&lt;=0,"No recent demand",IF(N($D48)&lt;=0,"Needs lead time","Planned"))))</f>
        <v/>
      </c>
      <c r="M48" s="8" t="str">
        <f aca="false">IF($A48="","",IF(ISNUMBER(MATCH($C48,Profiles!$A$2:$A$100,0)),$C48,DefaultProfile))</f>
        <v/>
      </c>
      <c r="N48" s="20" t="str">
        <f aca="false">IF($A48="","",INDEX(Profiles!$D$2:$D$100,MATCH($M48,Profiles!$A$2:$A$100,0)))</f>
        <v/>
      </c>
      <c r="O48" s="20" t="str">
        <f aca="false">IF($A48="","",INDEX(Profiles!$E$2:$E$100,MATCH($M48,Profiles!$A$2:$A$100,0)))</f>
        <v/>
      </c>
      <c r="P48" s="21" t="str">
        <f aca="false">IF($L48&lt;&gt;"Planned","",$K48*$D48*$N48*(1+$O48))</f>
        <v/>
      </c>
      <c r="Q48" s="21" t="str">
        <f aca="false">IF($L48&lt;&gt;"Planned","",$K48*$D48)</f>
        <v/>
      </c>
      <c r="R48" s="21" t="str">
        <f aca="false">IF($L48&lt;&gt;"Planned","",MAX(N($E48),$K48*$D48*$N48,$K48*N($G48)))</f>
        <v/>
      </c>
      <c r="S48" s="21" t="str">
        <f aca="false">IF($L48&lt;&gt;"Planned","",$P48)</f>
        <v/>
      </c>
      <c r="T48" s="21" t="str">
        <f aca="false">IF($L48&lt;&gt;"Planned","",$P48+$Q48)</f>
        <v/>
      </c>
      <c r="U48" s="21" t="str">
        <f aca="false">IF($L48&lt;&gt;"Planned","",$T48+$R48)</f>
        <v/>
      </c>
      <c r="V48" s="8" t="str">
        <f aca="false">IF($A48="","",SUMIFS('Open supply'!$C:$C,'Open supply'!$A:$A,$AF48))</f>
        <v/>
      </c>
      <c r="W48" s="8" t="str">
        <f aca="false">IF($A48="","",SUMIFS('Open supply'!$C:$C,'Open supply'!$A:$A,$AF48,'Open supply'!$B:$B,"&lt;"&amp;PlanDate))</f>
        <v/>
      </c>
      <c r="X48" s="8" t="str">
        <f aca="false">IF($A48="","",SUMIFS('Open demand'!$G:$G,'Open demand'!$A:$A,$AF48))</f>
        <v/>
      </c>
      <c r="Y48" s="8" t="str">
        <f aca="false">IF($L48&lt;&gt;"Planned","",N($H48)+$V48-$X48)</f>
        <v/>
      </c>
      <c r="Z48" s="19" t="str">
        <f aca="false">IF($L48&lt;&gt;"Planned","",IF($Y48&lt;=$S48,"Red",IF($Y48&lt;=$T48,"Yellow",IF($Y48&lt;=$U48,"Green","Above green"))))</f>
        <v/>
      </c>
      <c r="AA48" s="22" t="str">
        <f aca="false">IF(OR($L48&lt;&gt;"Planned",N($U48)&lt;=0),"",$Y48/$U48)</f>
        <v/>
      </c>
      <c r="AB48" s="8" t="str">
        <f aca="false">IF($L48&lt;&gt;"Planned","",IF($Y48&lt;=$T48,ROUNDUP(MAX($U48-$Y48,N($E48))/IF(N($F48)&gt;0,$F48,1)-0.000000001,0)*IF(N($F48)&gt;0,$F48,1),""))</f>
        <v/>
      </c>
      <c r="AC48" s="23" t="str">
        <f aca="false">IF(N($AB48)&gt;0,PlanDate+ROUNDUP($D48,0),"")</f>
        <v/>
      </c>
      <c r="AD48" s="19" t="str">
        <f aca="false">IF($L48&lt;&gt;"Planned","",IF(N($H48)&lt;=0,"Stockout",IF(N($H48)&lt;$S48*0.5,"Critical",IF(N($H48)&lt;=$S48,"Low",IF(N($H48)&gt;$U48,"Over top of green","OK")))))</f>
        <v/>
      </c>
      <c r="AE48" s="8" t="str">
        <f aca="false">IF($A48="","",$A48&amp;"")</f>
        <v/>
      </c>
      <c r="AF48" s="8" t="str">
        <f aca="false">IF($A48="","",SUBSTITUTE(SUBSTITUTE(SUBSTITUTE($A48&amp;"","~","~~"),"*","~*"),"?","~?"))</f>
        <v/>
      </c>
    </row>
    <row r="49" customFormat="false" ht="15" hidden="false" customHeight="false" outlineLevel="0" collapsed="false">
      <c r="A49" s="11"/>
      <c r="B49" s="11"/>
      <c r="C49" s="11"/>
      <c r="D49" s="16"/>
      <c r="E49" s="11"/>
      <c r="F49" s="11"/>
      <c r="G49" s="9"/>
      <c r="H49" s="11"/>
      <c r="I49" s="17"/>
      <c r="J49" s="18" t="str">
        <f aca="false">IF($A49="","",IF(COUNT(Usage!$C:$C)=0,"",MAX(0,SUMIFS(Usage!$C:$C,Usage!$A:$A,$AF49,Usage!$B:$B,"&gt;="&amp;(PlanDate-AduWindow),Usage!$B:$B,"&lt;"&amp;PlanDate))/AduWindow))</f>
        <v/>
      </c>
      <c r="K49" s="18" t="str">
        <f aca="false">IF($A49="","",IF(AND(ISNUMBER($I49),N($I49)&gt;=0),$I49,$J49))</f>
        <v/>
      </c>
      <c r="L49" s="19" t="str">
        <f aca="false">IF($A49="","",IF($K49="","Needs ADU",IF($K49&lt;=0,"No recent demand",IF(N($D49)&lt;=0,"Needs lead time","Planned"))))</f>
        <v/>
      </c>
      <c r="M49" s="8" t="str">
        <f aca="false">IF($A49="","",IF(ISNUMBER(MATCH($C49,Profiles!$A$2:$A$100,0)),$C49,DefaultProfile))</f>
        <v/>
      </c>
      <c r="N49" s="20" t="str">
        <f aca="false">IF($A49="","",INDEX(Profiles!$D$2:$D$100,MATCH($M49,Profiles!$A$2:$A$100,0)))</f>
        <v/>
      </c>
      <c r="O49" s="20" t="str">
        <f aca="false">IF($A49="","",INDEX(Profiles!$E$2:$E$100,MATCH($M49,Profiles!$A$2:$A$100,0)))</f>
        <v/>
      </c>
      <c r="P49" s="21" t="str">
        <f aca="false">IF($L49&lt;&gt;"Planned","",$K49*$D49*$N49*(1+$O49))</f>
        <v/>
      </c>
      <c r="Q49" s="21" t="str">
        <f aca="false">IF($L49&lt;&gt;"Planned","",$K49*$D49)</f>
        <v/>
      </c>
      <c r="R49" s="21" t="str">
        <f aca="false">IF($L49&lt;&gt;"Planned","",MAX(N($E49),$K49*$D49*$N49,$K49*N($G49)))</f>
        <v/>
      </c>
      <c r="S49" s="21" t="str">
        <f aca="false">IF($L49&lt;&gt;"Planned","",$P49)</f>
        <v/>
      </c>
      <c r="T49" s="21" t="str">
        <f aca="false">IF($L49&lt;&gt;"Planned","",$P49+$Q49)</f>
        <v/>
      </c>
      <c r="U49" s="21" t="str">
        <f aca="false">IF($L49&lt;&gt;"Planned","",$T49+$R49)</f>
        <v/>
      </c>
      <c r="V49" s="8" t="str">
        <f aca="false">IF($A49="","",SUMIFS('Open supply'!$C:$C,'Open supply'!$A:$A,$AF49))</f>
        <v/>
      </c>
      <c r="W49" s="8" t="str">
        <f aca="false">IF($A49="","",SUMIFS('Open supply'!$C:$C,'Open supply'!$A:$A,$AF49,'Open supply'!$B:$B,"&lt;"&amp;PlanDate))</f>
        <v/>
      </c>
      <c r="X49" s="8" t="str">
        <f aca="false">IF($A49="","",SUMIFS('Open demand'!$G:$G,'Open demand'!$A:$A,$AF49))</f>
        <v/>
      </c>
      <c r="Y49" s="8" t="str">
        <f aca="false">IF($L49&lt;&gt;"Planned","",N($H49)+$V49-$X49)</f>
        <v/>
      </c>
      <c r="Z49" s="19" t="str">
        <f aca="false">IF($L49&lt;&gt;"Planned","",IF($Y49&lt;=$S49,"Red",IF($Y49&lt;=$T49,"Yellow",IF($Y49&lt;=$U49,"Green","Above green"))))</f>
        <v/>
      </c>
      <c r="AA49" s="22" t="str">
        <f aca="false">IF(OR($L49&lt;&gt;"Planned",N($U49)&lt;=0),"",$Y49/$U49)</f>
        <v/>
      </c>
      <c r="AB49" s="8" t="str">
        <f aca="false">IF($L49&lt;&gt;"Planned","",IF($Y49&lt;=$T49,ROUNDUP(MAX($U49-$Y49,N($E49))/IF(N($F49)&gt;0,$F49,1)-0.000000001,0)*IF(N($F49)&gt;0,$F49,1),""))</f>
        <v/>
      </c>
      <c r="AC49" s="23" t="str">
        <f aca="false">IF(N($AB49)&gt;0,PlanDate+ROUNDUP($D49,0),"")</f>
        <v/>
      </c>
      <c r="AD49" s="19" t="str">
        <f aca="false">IF($L49&lt;&gt;"Planned","",IF(N($H49)&lt;=0,"Stockout",IF(N($H49)&lt;$S49*0.5,"Critical",IF(N($H49)&lt;=$S49,"Low",IF(N($H49)&gt;$U49,"Over top of green","OK")))))</f>
        <v/>
      </c>
      <c r="AE49" s="8" t="str">
        <f aca="false">IF($A49="","",$A49&amp;"")</f>
        <v/>
      </c>
      <c r="AF49" s="8" t="str">
        <f aca="false">IF($A49="","",SUBSTITUTE(SUBSTITUTE(SUBSTITUTE($A49&amp;"","~","~~"),"*","~*"),"?","~?"))</f>
        <v/>
      </c>
    </row>
    <row r="50" customFormat="false" ht="15" hidden="false" customHeight="false" outlineLevel="0" collapsed="false">
      <c r="A50" s="11"/>
      <c r="B50" s="11"/>
      <c r="C50" s="11"/>
      <c r="D50" s="16"/>
      <c r="E50" s="11"/>
      <c r="F50" s="11"/>
      <c r="G50" s="9"/>
      <c r="H50" s="11"/>
      <c r="I50" s="17"/>
      <c r="J50" s="18" t="str">
        <f aca="false">IF($A50="","",IF(COUNT(Usage!$C:$C)=0,"",MAX(0,SUMIFS(Usage!$C:$C,Usage!$A:$A,$AF50,Usage!$B:$B,"&gt;="&amp;(PlanDate-AduWindow),Usage!$B:$B,"&lt;"&amp;PlanDate))/AduWindow))</f>
        <v/>
      </c>
      <c r="K50" s="18" t="str">
        <f aca="false">IF($A50="","",IF(AND(ISNUMBER($I50),N($I50)&gt;=0),$I50,$J50))</f>
        <v/>
      </c>
      <c r="L50" s="19" t="str">
        <f aca="false">IF($A50="","",IF($K50="","Needs ADU",IF($K50&lt;=0,"No recent demand",IF(N($D50)&lt;=0,"Needs lead time","Planned"))))</f>
        <v/>
      </c>
      <c r="M50" s="8" t="str">
        <f aca="false">IF($A50="","",IF(ISNUMBER(MATCH($C50,Profiles!$A$2:$A$100,0)),$C50,DefaultProfile))</f>
        <v/>
      </c>
      <c r="N50" s="20" t="str">
        <f aca="false">IF($A50="","",INDEX(Profiles!$D$2:$D$100,MATCH($M50,Profiles!$A$2:$A$100,0)))</f>
        <v/>
      </c>
      <c r="O50" s="20" t="str">
        <f aca="false">IF($A50="","",INDEX(Profiles!$E$2:$E$100,MATCH($M50,Profiles!$A$2:$A$100,0)))</f>
        <v/>
      </c>
      <c r="P50" s="21" t="str">
        <f aca="false">IF($L50&lt;&gt;"Planned","",$K50*$D50*$N50*(1+$O50))</f>
        <v/>
      </c>
      <c r="Q50" s="21" t="str">
        <f aca="false">IF($L50&lt;&gt;"Planned","",$K50*$D50)</f>
        <v/>
      </c>
      <c r="R50" s="21" t="str">
        <f aca="false">IF($L50&lt;&gt;"Planned","",MAX(N($E50),$K50*$D50*$N50,$K50*N($G50)))</f>
        <v/>
      </c>
      <c r="S50" s="21" t="str">
        <f aca="false">IF($L50&lt;&gt;"Planned","",$P50)</f>
        <v/>
      </c>
      <c r="T50" s="21" t="str">
        <f aca="false">IF($L50&lt;&gt;"Planned","",$P50+$Q50)</f>
        <v/>
      </c>
      <c r="U50" s="21" t="str">
        <f aca="false">IF($L50&lt;&gt;"Planned","",$T50+$R50)</f>
        <v/>
      </c>
      <c r="V50" s="8" t="str">
        <f aca="false">IF($A50="","",SUMIFS('Open supply'!$C:$C,'Open supply'!$A:$A,$AF50))</f>
        <v/>
      </c>
      <c r="W50" s="8" t="str">
        <f aca="false">IF($A50="","",SUMIFS('Open supply'!$C:$C,'Open supply'!$A:$A,$AF50,'Open supply'!$B:$B,"&lt;"&amp;PlanDate))</f>
        <v/>
      </c>
      <c r="X50" s="8" t="str">
        <f aca="false">IF($A50="","",SUMIFS('Open demand'!$G:$G,'Open demand'!$A:$A,$AF50))</f>
        <v/>
      </c>
      <c r="Y50" s="8" t="str">
        <f aca="false">IF($L50&lt;&gt;"Planned","",N($H50)+$V50-$X50)</f>
        <v/>
      </c>
      <c r="Z50" s="19" t="str">
        <f aca="false">IF($L50&lt;&gt;"Planned","",IF($Y50&lt;=$S50,"Red",IF($Y50&lt;=$T50,"Yellow",IF($Y50&lt;=$U50,"Green","Above green"))))</f>
        <v/>
      </c>
      <c r="AA50" s="22" t="str">
        <f aca="false">IF(OR($L50&lt;&gt;"Planned",N($U50)&lt;=0),"",$Y50/$U50)</f>
        <v/>
      </c>
      <c r="AB50" s="8" t="str">
        <f aca="false">IF($L50&lt;&gt;"Planned","",IF($Y50&lt;=$T50,ROUNDUP(MAX($U50-$Y50,N($E50))/IF(N($F50)&gt;0,$F50,1)-0.000000001,0)*IF(N($F50)&gt;0,$F50,1),""))</f>
        <v/>
      </c>
      <c r="AC50" s="23" t="str">
        <f aca="false">IF(N($AB50)&gt;0,PlanDate+ROUNDUP($D50,0),"")</f>
        <v/>
      </c>
      <c r="AD50" s="19" t="str">
        <f aca="false">IF($L50&lt;&gt;"Planned","",IF(N($H50)&lt;=0,"Stockout",IF(N($H50)&lt;$S50*0.5,"Critical",IF(N($H50)&lt;=$S50,"Low",IF(N($H50)&gt;$U50,"Over top of green","OK")))))</f>
        <v/>
      </c>
      <c r="AE50" s="8" t="str">
        <f aca="false">IF($A50="","",$A50&amp;"")</f>
        <v/>
      </c>
      <c r="AF50" s="8" t="str">
        <f aca="false">IF($A50="","",SUBSTITUTE(SUBSTITUTE(SUBSTITUTE($A50&amp;"","~","~~"),"*","~*"),"?","~?"))</f>
        <v/>
      </c>
    </row>
    <row r="51" customFormat="false" ht="15" hidden="false" customHeight="false" outlineLevel="0" collapsed="false">
      <c r="A51" s="11"/>
      <c r="B51" s="11"/>
      <c r="C51" s="11"/>
      <c r="D51" s="16"/>
      <c r="E51" s="11"/>
      <c r="F51" s="11"/>
      <c r="G51" s="9"/>
      <c r="H51" s="11"/>
      <c r="I51" s="17"/>
      <c r="J51" s="18" t="str">
        <f aca="false">IF($A51="","",IF(COUNT(Usage!$C:$C)=0,"",MAX(0,SUMIFS(Usage!$C:$C,Usage!$A:$A,$AF51,Usage!$B:$B,"&gt;="&amp;(PlanDate-AduWindow),Usage!$B:$B,"&lt;"&amp;PlanDate))/AduWindow))</f>
        <v/>
      </c>
      <c r="K51" s="18" t="str">
        <f aca="false">IF($A51="","",IF(AND(ISNUMBER($I51),N($I51)&gt;=0),$I51,$J51))</f>
        <v/>
      </c>
      <c r="L51" s="19" t="str">
        <f aca="false">IF($A51="","",IF($K51="","Needs ADU",IF($K51&lt;=0,"No recent demand",IF(N($D51)&lt;=0,"Needs lead time","Planned"))))</f>
        <v/>
      </c>
      <c r="M51" s="8" t="str">
        <f aca="false">IF($A51="","",IF(ISNUMBER(MATCH($C51,Profiles!$A$2:$A$100,0)),$C51,DefaultProfile))</f>
        <v/>
      </c>
      <c r="N51" s="20" t="str">
        <f aca="false">IF($A51="","",INDEX(Profiles!$D$2:$D$100,MATCH($M51,Profiles!$A$2:$A$100,0)))</f>
        <v/>
      </c>
      <c r="O51" s="20" t="str">
        <f aca="false">IF($A51="","",INDEX(Profiles!$E$2:$E$100,MATCH($M51,Profiles!$A$2:$A$100,0)))</f>
        <v/>
      </c>
      <c r="P51" s="21" t="str">
        <f aca="false">IF($L51&lt;&gt;"Planned","",$K51*$D51*$N51*(1+$O51))</f>
        <v/>
      </c>
      <c r="Q51" s="21" t="str">
        <f aca="false">IF($L51&lt;&gt;"Planned","",$K51*$D51)</f>
        <v/>
      </c>
      <c r="R51" s="21" t="str">
        <f aca="false">IF($L51&lt;&gt;"Planned","",MAX(N($E51),$K51*$D51*$N51,$K51*N($G51)))</f>
        <v/>
      </c>
      <c r="S51" s="21" t="str">
        <f aca="false">IF($L51&lt;&gt;"Planned","",$P51)</f>
        <v/>
      </c>
      <c r="T51" s="21" t="str">
        <f aca="false">IF($L51&lt;&gt;"Planned","",$P51+$Q51)</f>
        <v/>
      </c>
      <c r="U51" s="21" t="str">
        <f aca="false">IF($L51&lt;&gt;"Planned","",$T51+$R51)</f>
        <v/>
      </c>
      <c r="V51" s="8" t="str">
        <f aca="false">IF($A51="","",SUMIFS('Open supply'!$C:$C,'Open supply'!$A:$A,$AF51))</f>
        <v/>
      </c>
      <c r="W51" s="8" t="str">
        <f aca="false">IF($A51="","",SUMIFS('Open supply'!$C:$C,'Open supply'!$A:$A,$AF51,'Open supply'!$B:$B,"&lt;"&amp;PlanDate))</f>
        <v/>
      </c>
      <c r="X51" s="8" t="str">
        <f aca="false">IF($A51="","",SUMIFS('Open demand'!$G:$G,'Open demand'!$A:$A,$AF51))</f>
        <v/>
      </c>
      <c r="Y51" s="8" t="str">
        <f aca="false">IF($L51&lt;&gt;"Planned","",N($H51)+$V51-$X51)</f>
        <v/>
      </c>
      <c r="Z51" s="19" t="str">
        <f aca="false">IF($L51&lt;&gt;"Planned","",IF($Y51&lt;=$S51,"Red",IF($Y51&lt;=$T51,"Yellow",IF($Y51&lt;=$U51,"Green","Above green"))))</f>
        <v/>
      </c>
      <c r="AA51" s="22" t="str">
        <f aca="false">IF(OR($L51&lt;&gt;"Planned",N($U51)&lt;=0),"",$Y51/$U51)</f>
        <v/>
      </c>
      <c r="AB51" s="8" t="str">
        <f aca="false">IF($L51&lt;&gt;"Planned","",IF($Y51&lt;=$T51,ROUNDUP(MAX($U51-$Y51,N($E51))/IF(N($F51)&gt;0,$F51,1)-0.000000001,0)*IF(N($F51)&gt;0,$F51,1),""))</f>
        <v/>
      </c>
      <c r="AC51" s="23" t="str">
        <f aca="false">IF(N($AB51)&gt;0,PlanDate+ROUNDUP($D51,0),"")</f>
        <v/>
      </c>
      <c r="AD51" s="19" t="str">
        <f aca="false">IF($L51&lt;&gt;"Planned","",IF(N($H51)&lt;=0,"Stockout",IF(N($H51)&lt;$S51*0.5,"Critical",IF(N($H51)&lt;=$S51,"Low",IF(N($H51)&gt;$U51,"Over top of green","OK")))))</f>
        <v/>
      </c>
      <c r="AE51" s="8" t="str">
        <f aca="false">IF($A51="","",$A51&amp;"")</f>
        <v/>
      </c>
      <c r="AF51" s="8" t="str">
        <f aca="false">IF($A51="","",SUBSTITUTE(SUBSTITUTE(SUBSTITUTE($A51&amp;"","~","~~"),"*","~*"),"?","~?"))</f>
        <v/>
      </c>
    </row>
    <row r="52" customFormat="false" ht="15" hidden="false" customHeight="false" outlineLevel="0" collapsed="false">
      <c r="A52" s="11"/>
      <c r="B52" s="11"/>
      <c r="C52" s="11"/>
      <c r="D52" s="16"/>
      <c r="E52" s="11"/>
      <c r="F52" s="11"/>
      <c r="G52" s="9"/>
      <c r="H52" s="11"/>
      <c r="I52" s="17"/>
      <c r="J52" s="18" t="str">
        <f aca="false">IF($A52="","",IF(COUNT(Usage!$C:$C)=0,"",MAX(0,SUMIFS(Usage!$C:$C,Usage!$A:$A,$AF52,Usage!$B:$B,"&gt;="&amp;(PlanDate-AduWindow),Usage!$B:$B,"&lt;"&amp;PlanDate))/AduWindow))</f>
        <v/>
      </c>
      <c r="K52" s="18" t="str">
        <f aca="false">IF($A52="","",IF(AND(ISNUMBER($I52),N($I52)&gt;=0),$I52,$J52))</f>
        <v/>
      </c>
      <c r="L52" s="19" t="str">
        <f aca="false">IF($A52="","",IF($K52="","Needs ADU",IF($K52&lt;=0,"No recent demand",IF(N($D52)&lt;=0,"Needs lead time","Planned"))))</f>
        <v/>
      </c>
      <c r="M52" s="8" t="str">
        <f aca="false">IF($A52="","",IF(ISNUMBER(MATCH($C52,Profiles!$A$2:$A$100,0)),$C52,DefaultProfile))</f>
        <v/>
      </c>
      <c r="N52" s="20" t="str">
        <f aca="false">IF($A52="","",INDEX(Profiles!$D$2:$D$100,MATCH($M52,Profiles!$A$2:$A$100,0)))</f>
        <v/>
      </c>
      <c r="O52" s="20" t="str">
        <f aca="false">IF($A52="","",INDEX(Profiles!$E$2:$E$100,MATCH($M52,Profiles!$A$2:$A$100,0)))</f>
        <v/>
      </c>
      <c r="P52" s="21" t="str">
        <f aca="false">IF($L52&lt;&gt;"Planned","",$K52*$D52*$N52*(1+$O52))</f>
        <v/>
      </c>
      <c r="Q52" s="21" t="str">
        <f aca="false">IF($L52&lt;&gt;"Planned","",$K52*$D52)</f>
        <v/>
      </c>
      <c r="R52" s="21" t="str">
        <f aca="false">IF($L52&lt;&gt;"Planned","",MAX(N($E52),$K52*$D52*$N52,$K52*N($G52)))</f>
        <v/>
      </c>
      <c r="S52" s="21" t="str">
        <f aca="false">IF($L52&lt;&gt;"Planned","",$P52)</f>
        <v/>
      </c>
      <c r="T52" s="21" t="str">
        <f aca="false">IF($L52&lt;&gt;"Planned","",$P52+$Q52)</f>
        <v/>
      </c>
      <c r="U52" s="21" t="str">
        <f aca="false">IF($L52&lt;&gt;"Planned","",$T52+$R52)</f>
        <v/>
      </c>
      <c r="V52" s="8" t="str">
        <f aca="false">IF($A52="","",SUMIFS('Open supply'!$C:$C,'Open supply'!$A:$A,$AF52))</f>
        <v/>
      </c>
      <c r="W52" s="8" t="str">
        <f aca="false">IF($A52="","",SUMIFS('Open supply'!$C:$C,'Open supply'!$A:$A,$AF52,'Open supply'!$B:$B,"&lt;"&amp;PlanDate))</f>
        <v/>
      </c>
      <c r="X52" s="8" t="str">
        <f aca="false">IF($A52="","",SUMIFS('Open demand'!$G:$G,'Open demand'!$A:$A,$AF52))</f>
        <v/>
      </c>
      <c r="Y52" s="8" t="str">
        <f aca="false">IF($L52&lt;&gt;"Planned","",N($H52)+$V52-$X52)</f>
        <v/>
      </c>
      <c r="Z52" s="19" t="str">
        <f aca="false">IF($L52&lt;&gt;"Planned","",IF($Y52&lt;=$S52,"Red",IF($Y52&lt;=$T52,"Yellow",IF($Y52&lt;=$U52,"Green","Above green"))))</f>
        <v/>
      </c>
      <c r="AA52" s="22" t="str">
        <f aca="false">IF(OR($L52&lt;&gt;"Planned",N($U52)&lt;=0),"",$Y52/$U52)</f>
        <v/>
      </c>
      <c r="AB52" s="8" t="str">
        <f aca="false">IF($L52&lt;&gt;"Planned","",IF($Y52&lt;=$T52,ROUNDUP(MAX($U52-$Y52,N($E52))/IF(N($F52)&gt;0,$F52,1)-0.000000001,0)*IF(N($F52)&gt;0,$F52,1),""))</f>
        <v/>
      </c>
      <c r="AC52" s="23" t="str">
        <f aca="false">IF(N($AB52)&gt;0,PlanDate+ROUNDUP($D52,0),"")</f>
        <v/>
      </c>
      <c r="AD52" s="19" t="str">
        <f aca="false">IF($L52&lt;&gt;"Planned","",IF(N($H52)&lt;=0,"Stockout",IF(N($H52)&lt;$S52*0.5,"Critical",IF(N($H52)&lt;=$S52,"Low",IF(N($H52)&gt;$U52,"Over top of green","OK")))))</f>
        <v/>
      </c>
      <c r="AE52" s="8" t="str">
        <f aca="false">IF($A52="","",$A52&amp;"")</f>
        <v/>
      </c>
      <c r="AF52" s="8" t="str">
        <f aca="false">IF($A52="","",SUBSTITUTE(SUBSTITUTE(SUBSTITUTE($A52&amp;"","~","~~"),"*","~*"),"?","~?"))</f>
        <v/>
      </c>
    </row>
    <row r="53" customFormat="false" ht="15" hidden="false" customHeight="false" outlineLevel="0" collapsed="false">
      <c r="A53" s="11"/>
      <c r="B53" s="11"/>
      <c r="C53" s="11"/>
      <c r="D53" s="16"/>
      <c r="E53" s="11"/>
      <c r="F53" s="11"/>
      <c r="G53" s="9"/>
      <c r="H53" s="11"/>
      <c r="I53" s="17"/>
      <c r="J53" s="18" t="str">
        <f aca="false">IF($A53="","",IF(COUNT(Usage!$C:$C)=0,"",MAX(0,SUMIFS(Usage!$C:$C,Usage!$A:$A,$AF53,Usage!$B:$B,"&gt;="&amp;(PlanDate-AduWindow),Usage!$B:$B,"&lt;"&amp;PlanDate))/AduWindow))</f>
        <v/>
      </c>
      <c r="K53" s="18" t="str">
        <f aca="false">IF($A53="","",IF(AND(ISNUMBER($I53),N($I53)&gt;=0),$I53,$J53))</f>
        <v/>
      </c>
      <c r="L53" s="19" t="str">
        <f aca="false">IF($A53="","",IF($K53="","Needs ADU",IF($K53&lt;=0,"No recent demand",IF(N($D53)&lt;=0,"Needs lead time","Planned"))))</f>
        <v/>
      </c>
      <c r="M53" s="8" t="str">
        <f aca="false">IF($A53="","",IF(ISNUMBER(MATCH($C53,Profiles!$A$2:$A$100,0)),$C53,DefaultProfile))</f>
        <v/>
      </c>
      <c r="N53" s="20" t="str">
        <f aca="false">IF($A53="","",INDEX(Profiles!$D$2:$D$100,MATCH($M53,Profiles!$A$2:$A$100,0)))</f>
        <v/>
      </c>
      <c r="O53" s="20" t="str">
        <f aca="false">IF($A53="","",INDEX(Profiles!$E$2:$E$100,MATCH($M53,Profiles!$A$2:$A$100,0)))</f>
        <v/>
      </c>
      <c r="P53" s="21" t="str">
        <f aca="false">IF($L53&lt;&gt;"Planned","",$K53*$D53*$N53*(1+$O53))</f>
        <v/>
      </c>
      <c r="Q53" s="21" t="str">
        <f aca="false">IF($L53&lt;&gt;"Planned","",$K53*$D53)</f>
        <v/>
      </c>
      <c r="R53" s="21" t="str">
        <f aca="false">IF($L53&lt;&gt;"Planned","",MAX(N($E53),$K53*$D53*$N53,$K53*N($G53)))</f>
        <v/>
      </c>
      <c r="S53" s="21" t="str">
        <f aca="false">IF($L53&lt;&gt;"Planned","",$P53)</f>
        <v/>
      </c>
      <c r="T53" s="21" t="str">
        <f aca="false">IF($L53&lt;&gt;"Planned","",$P53+$Q53)</f>
        <v/>
      </c>
      <c r="U53" s="21" t="str">
        <f aca="false">IF($L53&lt;&gt;"Planned","",$T53+$R53)</f>
        <v/>
      </c>
      <c r="V53" s="8" t="str">
        <f aca="false">IF($A53="","",SUMIFS('Open supply'!$C:$C,'Open supply'!$A:$A,$AF53))</f>
        <v/>
      </c>
      <c r="W53" s="8" t="str">
        <f aca="false">IF($A53="","",SUMIFS('Open supply'!$C:$C,'Open supply'!$A:$A,$AF53,'Open supply'!$B:$B,"&lt;"&amp;PlanDate))</f>
        <v/>
      </c>
      <c r="X53" s="8" t="str">
        <f aca="false">IF($A53="","",SUMIFS('Open demand'!$G:$G,'Open demand'!$A:$A,$AF53))</f>
        <v/>
      </c>
      <c r="Y53" s="8" t="str">
        <f aca="false">IF($L53&lt;&gt;"Planned","",N($H53)+$V53-$X53)</f>
        <v/>
      </c>
      <c r="Z53" s="19" t="str">
        <f aca="false">IF($L53&lt;&gt;"Planned","",IF($Y53&lt;=$S53,"Red",IF($Y53&lt;=$T53,"Yellow",IF($Y53&lt;=$U53,"Green","Above green"))))</f>
        <v/>
      </c>
      <c r="AA53" s="22" t="str">
        <f aca="false">IF(OR($L53&lt;&gt;"Planned",N($U53)&lt;=0),"",$Y53/$U53)</f>
        <v/>
      </c>
      <c r="AB53" s="8" t="str">
        <f aca="false">IF($L53&lt;&gt;"Planned","",IF($Y53&lt;=$T53,ROUNDUP(MAX($U53-$Y53,N($E53))/IF(N($F53)&gt;0,$F53,1)-0.000000001,0)*IF(N($F53)&gt;0,$F53,1),""))</f>
        <v/>
      </c>
      <c r="AC53" s="23" t="str">
        <f aca="false">IF(N($AB53)&gt;0,PlanDate+ROUNDUP($D53,0),"")</f>
        <v/>
      </c>
      <c r="AD53" s="19" t="str">
        <f aca="false">IF($L53&lt;&gt;"Planned","",IF(N($H53)&lt;=0,"Stockout",IF(N($H53)&lt;$S53*0.5,"Critical",IF(N($H53)&lt;=$S53,"Low",IF(N($H53)&gt;$U53,"Over top of green","OK")))))</f>
        <v/>
      </c>
      <c r="AE53" s="8" t="str">
        <f aca="false">IF($A53="","",$A53&amp;"")</f>
        <v/>
      </c>
      <c r="AF53" s="8" t="str">
        <f aca="false">IF($A53="","",SUBSTITUTE(SUBSTITUTE(SUBSTITUTE($A53&amp;"","~","~~"),"*","~*"),"?","~?"))</f>
        <v/>
      </c>
    </row>
    <row r="54" customFormat="false" ht="15" hidden="false" customHeight="false" outlineLevel="0" collapsed="false">
      <c r="A54" s="11"/>
      <c r="B54" s="11"/>
      <c r="C54" s="11"/>
      <c r="D54" s="16"/>
      <c r="E54" s="11"/>
      <c r="F54" s="11"/>
      <c r="G54" s="9"/>
      <c r="H54" s="11"/>
      <c r="I54" s="17"/>
      <c r="J54" s="18" t="str">
        <f aca="false">IF($A54="","",IF(COUNT(Usage!$C:$C)=0,"",MAX(0,SUMIFS(Usage!$C:$C,Usage!$A:$A,$AF54,Usage!$B:$B,"&gt;="&amp;(PlanDate-AduWindow),Usage!$B:$B,"&lt;"&amp;PlanDate))/AduWindow))</f>
        <v/>
      </c>
      <c r="K54" s="18" t="str">
        <f aca="false">IF($A54="","",IF(AND(ISNUMBER($I54),N($I54)&gt;=0),$I54,$J54))</f>
        <v/>
      </c>
      <c r="L54" s="19" t="str">
        <f aca="false">IF($A54="","",IF($K54="","Needs ADU",IF($K54&lt;=0,"No recent demand",IF(N($D54)&lt;=0,"Needs lead time","Planned"))))</f>
        <v/>
      </c>
      <c r="M54" s="8" t="str">
        <f aca="false">IF($A54="","",IF(ISNUMBER(MATCH($C54,Profiles!$A$2:$A$100,0)),$C54,DefaultProfile))</f>
        <v/>
      </c>
      <c r="N54" s="20" t="str">
        <f aca="false">IF($A54="","",INDEX(Profiles!$D$2:$D$100,MATCH($M54,Profiles!$A$2:$A$100,0)))</f>
        <v/>
      </c>
      <c r="O54" s="20" t="str">
        <f aca="false">IF($A54="","",INDEX(Profiles!$E$2:$E$100,MATCH($M54,Profiles!$A$2:$A$100,0)))</f>
        <v/>
      </c>
      <c r="P54" s="21" t="str">
        <f aca="false">IF($L54&lt;&gt;"Planned","",$K54*$D54*$N54*(1+$O54))</f>
        <v/>
      </c>
      <c r="Q54" s="21" t="str">
        <f aca="false">IF($L54&lt;&gt;"Planned","",$K54*$D54)</f>
        <v/>
      </c>
      <c r="R54" s="21" t="str">
        <f aca="false">IF($L54&lt;&gt;"Planned","",MAX(N($E54),$K54*$D54*$N54,$K54*N($G54)))</f>
        <v/>
      </c>
      <c r="S54" s="21" t="str">
        <f aca="false">IF($L54&lt;&gt;"Planned","",$P54)</f>
        <v/>
      </c>
      <c r="T54" s="21" t="str">
        <f aca="false">IF($L54&lt;&gt;"Planned","",$P54+$Q54)</f>
        <v/>
      </c>
      <c r="U54" s="21" t="str">
        <f aca="false">IF($L54&lt;&gt;"Planned","",$T54+$R54)</f>
        <v/>
      </c>
      <c r="V54" s="8" t="str">
        <f aca="false">IF($A54="","",SUMIFS('Open supply'!$C:$C,'Open supply'!$A:$A,$AF54))</f>
        <v/>
      </c>
      <c r="W54" s="8" t="str">
        <f aca="false">IF($A54="","",SUMIFS('Open supply'!$C:$C,'Open supply'!$A:$A,$AF54,'Open supply'!$B:$B,"&lt;"&amp;PlanDate))</f>
        <v/>
      </c>
      <c r="X54" s="8" t="str">
        <f aca="false">IF($A54="","",SUMIFS('Open demand'!$G:$G,'Open demand'!$A:$A,$AF54))</f>
        <v/>
      </c>
      <c r="Y54" s="8" t="str">
        <f aca="false">IF($L54&lt;&gt;"Planned","",N($H54)+$V54-$X54)</f>
        <v/>
      </c>
      <c r="Z54" s="19" t="str">
        <f aca="false">IF($L54&lt;&gt;"Planned","",IF($Y54&lt;=$S54,"Red",IF($Y54&lt;=$T54,"Yellow",IF($Y54&lt;=$U54,"Green","Above green"))))</f>
        <v/>
      </c>
      <c r="AA54" s="22" t="str">
        <f aca="false">IF(OR($L54&lt;&gt;"Planned",N($U54)&lt;=0),"",$Y54/$U54)</f>
        <v/>
      </c>
      <c r="AB54" s="8" t="str">
        <f aca="false">IF($L54&lt;&gt;"Planned","",IF($Y54&lt;=$T54,ROUNDUP(MAX($U54-$Y54,N($E54))/IF(N($F54)&gt;0,$F54,1)-0.000000001,0)*IF(N($F54)&gt;0,$F54,1),""))</f>
        <v/>
      </c>
      <c r="AC54" s="23" t="str">
        <f aca="false">IF(N($AB54)&gt;0,PlanDate+ROUNDUP($D54,0),"")</f>
        <v/>
      </c>
      <c r="AD54" s="19" t="str">
        <f aca="false">IF($L54&lt;&gt;"Planned","",IF(N($H54)&lt;=0,"Stockout",IF(N($H54)&lt;$S54*0.5,"Critical",IF(N($H54)&lt;=$S54,"Low",IF(N($H54)&gt;$U54,"Over top of green","OK")))))</f>
        <v/>
      </c>
      <c r="AE54" s="8" t="str">
        <f aca="false">IF($A54="","",$A54&amp;"")</f>
        <v/>
      </c>
      <c r="AF54" s="8" t="str">
        <f aca="false">IF($A54="","",SUBSTITUTE(SUBSTITUTE(SUBSTITUTE($A54&amp;"","~","~~"),"*","~*"),"?","~?"))</f>
        <v/>
      </c>
    </row>
    <row r="55" customFormat="false" ht="15" hidden="false" customHeight="false" outlineLevel="0" collapsed="false">
      <c r="A55" s="11"/>
      <c r="B55" s="11"/>
      <c r="C55" s="11"/>
      <c r="D55" s="16"/>
      <c r="E55" s="11"/>
      <c r="F55" s="11"/>
      <c r="G55" s="9"/>
      <c r="H55" s="11"/>
      <c r="I55" s="17"/>
      <c r="J55" s="18" t="str">
        <f aca="false">IF($A55="","",IF(COUNT(Usage!$C:$C)=0,"",MAX(0,SUMIFS(Usage!$C:$C,Usage!$A:$A,$AF55,Usage!$B:$B,"&gt;="&amp;(PlanDate-AduWindow),Usage!$B:$B,"&lt;"&amp;PlanDate))/AduWindow))</f>
        <v/>
      </c>
      <c r="K55" s="18" t="str">
        <f aca="false">IF($A55="","",IF(AND(ISNUMBER($I55),N($I55)&gt;=0),$I55,$J55))</f>
        <v/>
      </c>
      <c r="L55" s="19" t="str">
        <f aca="false">IF($A55="","",IF($K55="","Needs ADU",IF($K55&lt;=0,"No recent demand",IF(N($D55)&lt;=0,"Needs lead time","Planned"))))</f>
        <v/>
      </c>
      <c r="M55" s="8" t="str">
        <f aca="false">IF($A55="","",IF(ISNUMBER(MATCH($C55,Profiles!$A$2:$A$100,0)),$C55,DefaultProfile))</f>
        <v/>
      </c>
      <c r="N55" s="20" t="str">
        <f aca="false">IF($A55="","",INDEX(Profiles!$D$2:$D$100,MATCH($M55,Profiles!$A$2:$A$100,0)))</f>
        <v/>
      </c>
      <c r="O55" s="20" t="str">
        <f aca="false">IF($A55="","",INDEX(Profiles!$E$2:$E$100,MATCH($M55,Profiles!$A$2:$A$100,0)))</f>
        <v/>
      </c>
      <c r="P55" s="21" t="str">
        <f aca="false">IF($L55&lt;&gt;"Planned","",$K55*$D55*$N55*(1+$O55))</f>
        <v/>
      </c>
      <c r="Q55" s="21" t="str">
        <f aca="false">IF($L55&lt;&gt;"Planned","",$K55*$D55)</f>
        <v/>
      </c>
      <c r="R55" s="21" t="str">
        <f aca="false">IF($L55&lt;&gt;"Planned","",MAX(N($E55),$K55*$D55*$N55,$K55*N($G55)))</f>
        <v/>
      </c>
      <c r="S55" s="21" t="str">
        <f aca="false">IF($L55&lt;&gt;"Planned","",$P55)</f>
        <v/>
      </c>
      <c r="T55" s="21" t="str">
        <f aca="false">IF($L55&lt;&gt;"Planned","",$P55+$Q55)</f>
        <v/>
      </c>
      <c r="U55" s="21" t="str">
        <f aca="false">IF($L55&lt;&gt;"Planned","",$T55+$R55)</f>
        <v/>
      </c>
      <c r="V55" s="8" t="str">
        <f aca="false">IF($A55="","",SUMIFS('Open supply'!$C:$C,'Open supply'!$A:$A,$AF55))</f>
        <v/>
      </c>
      <c r="W55" s="8" t="str">
        <f aca="false">IF($A55="","",SUMIFS('Open supply'!$C:$C,'Open supply'!$A:$A,$AF55,'Open supply'!$B:$B,"&lt;"&amp;PlanDate))</f>
        <v/>
      </c>
      <c r="X55" s="8" t="str">
        <f aca="false">IF($A55="","",SUMIFS('Open demand'!$G:$G,'Open demand'!$A:$A,$AF55))</f>
        <v/>
      </c>
      <c r="Y55" s="8" t="str">
        <f aca="false">IF($L55&lt;&gt;"Planned","",N($H55)+$V55-$X55)</f>
        <v/>
      </c>
      <c r="Z55" s="19" t="str">
        <f aca="false">IF($L55&lt;&gt;"Planned","",IF($Y55&lt;=$S55,"Red",IF($Y55&lt;=$T55,"Yellow",IF($Y55&lt;=$U55,"Green","Above green"))))</f>
        <v/>
      </c>
      <c r="AA55" s="22" t="str">
        <f aca="false">IF(OR($L55&lt;&gt;"Planned",N($U55)&lt;=0),"",$Y55/$U55)</f>
        <v/>
      </c>
      <c r="AB55" s="8" t="str">
        <f aca="false">IF($L55&lt;&gt;"Planned","",IF($Y55&lt;=$T55,ROUNDUP(MAX($U55-$Y55,N($E55))/IF(N($F55)&gt;0,$F55,1)-0.000000001,0)*IF(N($F55)&gt;0,$F55,1),""))</f>
        <v/>
      </c>
      <c r="AC55" s="23" t="str">
        <f aca="false">IF(N($AB55)&gt;0,PlanDate+ROUNDUP($D55,0),"")</f>
        <v/>
      </c>
      <c r="AD55" s="19" t="str">
        <f aca="false">IF($L55&lt;&gt;"Planned","",IF(N($H55)&lt;=0,"Stockout",IF(N($H55)&lt;$S55*0.5,"Critical",IF(N($H55)&lt;=$S55,"Low",IF(N($H55)&gt;$U55,"Over top of green","OK")))))</f>
        <v/>
      </c>
      <c r="AE55" s="8" t="str">
        <f aca="false">IF($A55="","",$A55&amp;"")</f>
        <v/>
      </c>
      <c r="AF55" s="8" t="str">
        <f aca="false">IF($A55="","",SUBSTITUTE(SUBSTITUTE(SUBSTITUTE($A55&amp;"","~","~~"),"*","~*"),"?","~?"))</f>
        <v/>
      </c>
    </row>
    <row r="56" customFormat="false" ht="15" hidden="false" customHeight="false" outlineLevel="0" collapsed="false">
      <c r="A56" s="11"/>
      <c r="B56" s="11"/>
      <c r="C56" s="11"/>
      <c r="D56" s="16"/>
      <c r="E56" s="11"/>
      <c r="F56" s="11"/>
      <c r="G56" s="9"/>
      <c r="H56" s="11"/>
      <c r="I56" s="17"/>
      <c r="J56" s="18" t="str">
        <f aca="false">IF($A56="","",IF(COUNT(Usage!$C:$C)=0,"",MAX(0,SUMIFS(Usage!$C:$C,Usage!$A:$A,$AF56,Usage!$B:$B,"&gt;="&amp;(PlanDate-AduWindow),Usage!$B:$B,"&lt;"&amp;PlanDate))/AduWindow))</f>
        <v/>
      </c>
      <c r="K56" s="18" t="str">
        <f aca="false">IF($A56="","",IF(AND(ISNUMBER($I56),N($I56)&gt;=0),$I56,$J56))</f>
        <v/>
      </c>
      <c r="L56" s="19" t="str">
        <f aca="false">IF($A56="","",IF($K56="","Needs ADU",IF($K56&lt;=0,"No recent demand",IF(N($D56)&lt;=0,"Needs lead time","Planned"))))</f>
        <v/>
      </c>
      <c r="M56" s="8" t="str">
        <f aca="false">IF($A56="","",IF(ISNUMBER(MATCH($C56,Profiles!$A$2:$A$100,0)),$C56,DefaultProfile))</f>
        <v/>
      </c>
      <c r="N56" s="20" t="str">
        <f aca="false">IF($A56="","",INDEX(Profiles!$D$2:$D$100,MATCH($M56,Profiles!$A$2:$A$100,0)))</f>
        <v/>
      </c>
      <c r="O56" s="20" t="str">
        <f aca="false">IF($A56="","",INDEX(Profiles!$E$2:$E$100,MATCH($M56,Profiles!$A$2:$A$100,0)))</f>
        <v/>
      </c>
      <c r="P56" s="21" t="str">
        <f aca="false">IF($L56&lt;&gt;"Planned","",$K56*$D56*$N56*(1+$O56))</f>
        <v/>
      </c>
      <c r="Q56" s="21" t="str">
        <f aca="false">IF($L56&lt;&gt;"Planned","",$K56*$D56)</f>
        <v/>
      </c>
      <c r="R56" s="21" t="str">
        <f aca="false">IF($L56&lt;&gt;"Planned","",MAX(N($E56),$K56*$D56*$N56,$K56*N($G56)))</f>
        <v/>
      </c>
      <c r="S56" s="21" t="str">
        <f aca="false">IF($L56&lt;&gt;"Planned","",$P56)</f>
        <v/>
      </c>
      <c r="T56" s="21" t="str">
        <f aca="false">IF($L56&lt;&gt;"Planned","",$P56+$Q56)</f>
        <v/>
      </c>
      <c r="U56" s="21" t="str">
        <f aca="false">IF($L56&lt;&gt;"Planned","",$T56+$R56)</f>
        <v/>
      </c>
      <c r="V56" s="8" t="str">
        <f aca="false">IF($A56="","",SUMIFS('Open supply'!$C:$C,'Open supply'!$A:$A,$AF56))</f>
        <v/>
      </c>
      <c r="W56" s="8" t="str">
        <f aca="false">IF($A56="","",SUMIFS('Open supply'!$C:$C,'Open supply'!$A:$A,$AF56,'Open supply'!$B:$B,"&lt;"&amp;PlanDate))</f>
        <v/>
      </c>
      <c r="X56" s="8" t="str">
        <f aca="false">IF($A56="","",SUMIFS('Open demand'!$G:$G,'Open demand'!$A:$A,$AF56))</f>
        <v/>
      </c>
      <c r="Y56" s="8" t="str">
        <f aca="false">IF($L56&lt;&gt;"Planned","",N($H56)+$V56-$X56)</f>
        <v/>
      </c>
      <c r="Z56" s="19" t="str">
        <f aca="false">IF($L56&lt;&gt;"Planned","",IF($Y56&lt;=$S56,"Red",IF($Y56&lt;=$T56,"Yellow",IF($Y56&lt;=$U56,"Green","Above green"))))</f>
        <v/>
      </c>
      <c r="AA56" s="22" t="str">
        <f aca="false">IF(OR($L56&lt;&gt;"Planned",N($U56)&lt;=0),"",$Y56/$U56)</f>
        <v/>
      </c>
      <c r="AB56" s="8" t="str">
        <f aca="false">IF($L56&lt;&gt;"Planned","",IF($Y56&lt;=$T56,ROUNDUP(MAX($U56-$Y56,N($E56))/IF(N($F56)&gt;0,$F56,1)-0.000000001,0)*IF(N($F56)&gt;0,$F56,1),""))</f>
        <v/>
      </c>
      <c r="AC56" s="23" t="str">
        <f aca="false">IF(N($AB56)&gt;0,PlanDate+ROUNDUP($D56,0),"")</f>
        <v/>
      </c>
      <c r="AD56" s="19" t="str">
        <f aca="false">IF($L56&lt;&gt;"Planned","",IF(N($H56)&lt;=0,"Stockout",IF(N($H56)&lt;$S56*0.5,"Critical",IF(N($H56)&lt;=$S56,"Low",IF(N($H56)&gt;$U56,"Over top of green","OK")))))</f>
        <v/>
      </c>
      <c r="AE56" s="8" t="str">
        <f aca="false">IF($A56="","",$A56&amp;"")</f>
        <v/>
      </c>
      <c r="AF56" s="8" t="str">
        <f aca="false">IF($A56="","",SUBSTITUTE(SUBSTITUTE(SUBSTITUTE($A56&amp;"","~","~~"),"*","~*"),"?","~?"))</f>
        <v/>
      </c>
    </row>
    <row r="57" customFormat="false" ht="15" hidden="false" customHeight="false" outlineLevel="0" collapsed="false">
      <c r="A57" s="11"/>
      <c r="B57" s="11"/>
      <c r="C57" s="11"/>
      <c r="D57" s="16"/>
      <c r="E57" s="11"/>
      <c r="F57" s="11"/>
      <c r="G57" s="9"/>
      <c r="H57" s="11"/>
      <c r="I57" s="17"/>
      <c r="J57" s="18" t="str">
        <f aca="false">IF($A57="","",IF(COUNT(Usage!$C:$C)=0,"",MAX(0,SUMIFS(Usage!$C:$C,Usage!$A:$A,$AF57,Usage!$B:$B,"&gt;="&amp;(PlanDate-AduWindow),Usage!$B:$B,"&lt;"&amp;PlanDate))/AduWindow))</f>
        <v/>
      </c>
      <c r="K57" s="18" t="str">
        <f aca="false">IF($A57="","",IF(AND(ISNUMBER($I57),N($I57)&gt;=0),$I57,$J57))</f>
        <v/>
      </c>
      <c r="L57" s="19" t="str">
        <f aca="false">IF($A57="","",IF($K57="","Needs ADU",IF($K57&lt;=0,"No recent demand",IF(N($D57)&lt;=0,"Needs lead time","Planned"))))</f>
        <v/>
      </c>
      <c r="M57" s="8" t="str">
        <f aca="false">IF($A57="","",IF(ISNUMBER(MATCH($C57,Profiles!$A$2:$A$100,0)),$C57,DefaultProfile))</f>
        <v/>
      </c>
      <c r="N57" s="20" t="str">
        <f aca="false">IF($A57="","",INDEX(Profiles!$D$2:$D$100,MATCH($M57,Profiles!$A$2:$A$100,0)))</f>
        <v/>
      </c>
      <c r="O57" s="20" t="str">
        <f aca="false">IF($A57="","",INDEX(Profiles!$E$2:$E$100,MATCH($M57,Profiles!$A$2:$A$100,0)))</f>
        <v/>
      </c>
      <c r="P57" s="21" t="str">
        <f aca="false">IF($L57&lt;&gt;"Planned","",$K57*$D57*$N57*(1+$O57))</f>
        <v/>
      </c>
      <c r="Q57" s="21" t="str">
        <f aca="false">IF($L57&lt;&gt;"Planned","",$K57*$D57)</f>
        <v/>
      </c>
      <c r="R57" s="21" t="str">
        <f aca="false">IF($L57&lt;&gt;"Planned","",MAX(N($E57),$K57*$D57*$N57,$K57*N($G57)))</f>
        <v/>
      </c>
      <c r="S57" s="21" t="str">
        <f aca="false">IF($L57&lt;&gt;"Planned","",$P57)</f>
        <v/>
      </c>
      <c r="T57" s="21" t="str">
        <f aca="false">IF($L57&lt;&gt;"Planned","",$P57+$Q57)</f>
        <v/>
      </c>
      <c r="U57" s="21" t="str">
        <f aca="false">IF($L57&lt;&gt;"Planned","",$T57+$R57)</f>
        <v/>
      </c>
      <c r="V57" s="8" t="str">
        <f aca="false">IF($A57="","",SUMIFS('Open supply'!$C:$C,'Open supply'!$A:$A,$AF57))</f>
        <v/>
      </c>
      <c r="W57" s="8" t="str">
        <f aca="false">IF($A57="","",SUMIFS('Open supply'!$C:$C,'Open supply'!$A:$A,$AF57,'Open supply'!$B:$B,"&lt;"&amp;PlanDate))</f>
        <v/>
      </c>
      <c r="X57" s="8" t="str">
        <f aca="false">IF($A57="","",SUMIFS('Open demand'!$G:$G,'Open demand'!$A:$A,$AF57))</f>
        <v/>
      </c>
      <c r="Y57" s="8" t="str">
        <f aca="false">IF($L57&lt;&gt;"Planned","",N($H57)+$V57-$X57)</f>
        <v/>
      </c>
      <c r="Z57" s="19" t="str">
        <f aca="false">IF($L57&lt;&gt;"Planned","",IF($Y57&lt;=$S57,"Red",IF($Y57&lt;=$T57,"Yellow",IF($Y57&lt;=$U57,"Green","Above green"))))</f>
        <v/>
      </c>
      <c r="AA57" s="22" t="str">
        <f aca="false">IF(OR($L57&lt;&gt;"Planned",N($U57)&lt;=0),"",$Y57/$U57)</f>
        <v/>
      </c>
      <c r="AB57" s="8" t="str">
        <f aca="false">IF($L57&lt;&gt;"Planned","",IF($Y57&lt;=$T57,ROUNDUP(MAX($U57-$Y57,N($E57))/IF(N($F57)&gt;0,$F57,1)-0.000000001,0)*IF(N($F57)&gt;0,$F57,1),""))</f>
        <v/>
      </c>
      <c r="AC57" s="23" t="str">
        <f aca="false">IF(N($AB57)&gt;0,PlanDate+ROUNDUP($D57,0),"")</f>
        <v/>
      </c>
      <c r="AD57" s="19" t="str">
        <f aca="false">IF($L57&lt;&gt;"Planned","",IF(N($H57)&lt;=0,"Stockout",IF(N($H57)&lt;$S57*0.5,"Critical",IF(N($H57)&lt;=$S57,"Low",IF(N($H57)&gt;$U57,"Over top of green","OK")))))</f>
        <v/>
      </c>
      <c r="AE57" s="8" t="str">
        <f aca="false">IF($A57="","",$A57&amp;"")</f>
        <v/>
      </c>
      <c r="AF57" s="8" t="str">
        <f aca="false">IF($A57="","",SUBSTITUTE(SUBSTITUTE(SUBSTITUTE($A57&amp;"","~","~~"),"*","~*"),"?","~?"))</f>
        <v/>
      </c>
    </row>
    <row r="58" customFormat="false" ht="15" hidden="false" customHeight="false" outlineLevel="0" collapsed="false">
      <c r="A58" s="11"/>
      <c r="B58" s="11"/>
      <c r="C58" s="11"/>
      <c r="D58" s="16"/>
      <c r="E58" s="11"/>
      <c r="F58" s="11"/>
      <c r="G58" s="9"/>
      <c r="H58" s="11"/>
      <c r="I58" s="17"/>
      <c r="J58" s="18" t="str">
        <f aca="false">IF($A58="","",IF(COUNT(Usage!$C:$C)=0,"",MAX(0,SUMIFS(Usage!$C:$C,Usage!$A:$A,$AF58,Usage!$B:$B,"&gt;="&amp;(PlanDate-AduWindow),Usage!$B:$B,"&lt;"&amp;PlanDate))/AduWindow))</f>
        <v/>
      </c>
      <c r="K58" s="18" t="str">
        <f aca="false">IF($A58="","",IF(AND(ISNUMBER($I58),N($I58)&gt;=0),$I58,$J58))</f>
        <v/>
      </c>
      <c r="L58" s="19" t="str">
        <f aca="false">IF($A58="","",IF($K58="","Needs ADU",IF($K58&lt;=0,"No recent demand",IF(N($D58)&lt;=0,"Needs lead time","Planned"))))</f>
        <v/>
      </c>
      <c r="M58" s="8" t="str">
        <f aca="false">IF($A58="","",IF(ISNUMBER(MATCH($C58,Profiles!$A$2:$A$100,0)),$C58,DefaultProfile))</f>
        <v/>
      </c>
      <c r="N58" s="20" t="str">
        <f aca="false">IF($A58="","",INDEX(Profiles!$D$2:$D$100,MATCH($M58,Profiles!$A$2:$A$100,0)))</f>
        <v/>
      </c>
      <c r="O58" s="20" t="str">
        <f aca="false">IF($A58="","",INDEX(Profiles!$E$2:$E$100,MATCH($M58,Profiles!$A$2:$A$100,0)))</f>
        <v/>
      </c>
      <c r="P58" s="21" t="str">
        <f aca="false">IF($L58&lt;&gt;"Planned","",$K58*$D58*$N58*(1+$O58))</f>
        <v/>
      </c>
      <c r="Q58" s="21" t="str">
        <f aca="false">IF($L58&lt;&gt;"Planned","",$K58*$D58)</f>
        <v/>
      </c>
      <c r="R58" s="21" t="str">
        <f aca="false">IF($L58&lt;&gt;"Planned","",MAX(N($E58),$K58*$D58*$N58,$K58*N($G58)))</f>
        <v/>
      </c>
      <c r="S58" s="21" t="str">
        <f aca="false">IF($L58&lt;&gt;"Planned","",$P58)</f>
        <v/>
      </c>
      <c r="T58" s="21" t="str">
        <f aca="false">IF($L58&lt;&gt;"Planned","",$P58+$Q58)</f>
        <v/>
      </c>
      <c r="U58" s="21" t="str">
        <f aca="false">IF($L58&lt;&gt;"Planned","",$T58+$R58)</f>
        <v/>
      </c>
      <c r="V58" s="8" t="str">
        <f aca="false">IF($A58="","",SUMIFS('Open supply'!$C:$C,'Open supply'!$A:$A,$AF58))</f>
        <v/>
      </c>
      <c r="W58" s="8" t="str">
        <f aca="false">IF($A58="","",SUMIFS('Open supply'!$C:$C,'Open supply'!$A:$A,$AF58,'Open supply'!$B:$B,"&lt;"&amp;PlanDate))</f>
        <v/>
      </c>
      <c r="X58" s="8" t="str">
        <f aca="false">IF($A58="","",SUMIFS('Open demand'!$G:$G,'Open demand'!$A:$A,$AF58))</f>
        <v/>
      </c>
      <c r="Y58" s="8" t="str">
        <f aca="false">IF($L58&lt;&gt;"Planned","",N($H58)+$V58-$X58)</f>
        <v/>
      </c>
      <c r="Z58" s="19" t="str">
        <f aca="false">IF($L58&lt;&gt;"Planned","",IF($Y58&lt;=$S58,"Red",IF($Y58&lt;=$T58,"Yellow",IF($Y58&lt;=$U58,"Green","Above green"))))</f>
        <v/>
      </c>
      <c r="AA58" s="22" t="str">
        <f aca="false">IF(OR($L58&lt;&gt;"Planned",N($U58)&lt;=0),"",$Y58/$U58)</f>
        <v/>
      </c>
      <c r="AB58" s="8" t="str">
        <f aca="false">IF($L58&lt;&gt;"Planned","",IF($Y58&lt;=$T58,ROUNDUP(MAX($U58-$Y58,N($E58))/IF(N($F58)&gt;0,$F58,1)-0.000000001,0)*IF(N($F58)&gt;0,$F58,1),""))</f>
        <v/>
      </c>
      <c r="AC58" s="23" t="str">
        <f aca="false">IF(N($AB58)&gt;0,PlanDate+ROUNDUP($D58,0),"")</f>
        <v/>
      </c>
      <c r="AD58" s="19" t="str">
        <f aca="false">IF($L58&lt;&gt;"Planned","",IF(N($H58)&lt;=0,"Stockout",IF(N($H58)&lt;$S58*0.5,"Critical",IF(N($H58)&lt;=$S58,"Low",IF(N($H58)&gt;$U58,"Over top of green","OK")))))</f>
        <v/>
      </c>
      <c r="AE58" s="8" t="str">
        <f aca="false">IF($A58="","",$A58&amp;"")</f>
        <v/>
      </c>
      <c r="AF58" s="8" t="str">
        <f aca="false">IF($A58="","",SUBSTITUTE(SUBSTITUTE(SUBSTITUTE($A58&amp;"","~","~~"),"*","~*"),"?","~?"))</f>
        <v/>
      </c>
    </row>
    <row r="59" customFormat="false" ht="15" hidden="false" customHeight="false" outlineLevel="0" collapsed="false">
      <c r="A59" s="11"/>
      <c r="B59" s="11"/>
      <c r="C59" s="11"/>
      <c r="D59" s="16"/>
      <c r="E59" s="11"/>
      <c r="F59" s="11"/>
      <c r="G59" s="9"/>
      <c r="H59" s="11"/>
      <c r="I59" s="17"/>
      <c r="J59" s="18" t="str">
        <f aca="false">IF($A59="","",IF(COUNT(Usage!$C:$C)=0,"",MAX(0,SUMIFS(Usage!$C:$C,Usage!$A:$A,$AF59,Usage!$B:$B,"&gt;="&amp;(PlanDate-AduWindow),Usage!$B:$B,"&lt;"&amp;PlanDate))/AduWindow))</f>
        <v/>
      </c>
      <c r="K59" s="18" t="str">
        <f aca="false">IF($A59="","",IF(AND(ISNUMBER($I59),N($I59)&gt;=0),$I59,$J59))</f>
        <v/>
      </c>
      <c r="L59" s="19" t="str">
        <f aca="false">IF($A59="","",IF($K59="","Needs ADU",IF($K59&lt;=0,"No recent demand",IF(N($D59)&lt;=0,"Needs lead time","Planned"))))</f>
        <v/>
      </c>
      <c r="M59" s="8" t="str">
        <f aca="false">IF($A59="","",IF(ISNUMBER(MATCH($C59,Profiles!$A$2:$A$100,0)),$C59,DefaultProfile))</f>
        <v/>
      </c>
      <c r="N59" s="20" t="str">
        <f aca="false">IF($A59="","",INDEX(Profiles!$D$2:$D$100,MATCH($M59,Profiles!$A$2:$A$100,0)))</f>
        <v/>
      </c>
      <c r="O59" s="20" t="str">
        <f aca="false">IF($A59="","",INDEX(Profiles!$E$2:$E$100,MATCH($M59,Profiles!$A$2:$A$100,0)))</f>
        <v/>
      </c>
      <c r="P59" s="21" t="str">
        <f aca="false">IF($L59&lt;&gt;"Planned","",$K59*$D59*$N59*(1+$O59))</f>
        <v/>
      </c>
      <c r="Q59" s="21" t="str">
        <f aca="false">IF($L59&lt;&gt;"Planned","",$K59*$D59)</f>
        <v/>
      </c>
      <c r="R59" s="21" t="str">
        <f aca="false">IF($L59&lt;&gt;"Planned","",MAX(N($E59),$K59*$D59*$N59,$K59*N($G59)))</f>
        <v/>
      </c>
      <c r="S59" s="21" t="str">
        <f aca="false">IF($L59&lt;&gt;"Planned","",$P59)</f>
        <v/>
      </c>
      <c r="T59" s="21" t="str">
        <f aca="false">IF($L59&lt;&gt;"Planned","",$P59+$Q59)</f>
        <v/>
      </c>
      <c r="U59" s="21" t="str">
        <f aca="false">IF($L59&lt;&gt;"Planned","",$T59+$R59)</f>
        <v/>
      </c>
      <c r="V59" s="8" t="str">
        <f aca="false">IF($A59="","",SUMIFS('Open supply'!$C:$C,'Open supply'!$A:$A,$AF59))</f>
        <v/>
      </c>
      <c r="W59" s="8" t="str">
        <f aca="false">IF($A59="","",SUMIFS('Open supply'!$C:$C,'Open supply'!$A:$A,$AF59,'Open supply'!$B:$B,"&lt;"&amp;PlanDate))</f>
        <v/>
      </c>
      <c r="X59" s="8" t="str">
        <f aca="false">IF($A59="","",SUMIFS('Open demand'!$G:$G,'Open demand'!$A:$A,$AF59))</f>
        <v/>
      </c>
      <c r="Y59" s="8" t="str">
        <f aca="false">IF($L59&lt;&gt;"Planned","",N($H59)+$V59-$X59)</f>
        <v/>
      </c>
      <c r="Z59" s="19" t="str">
        <f aca="false">IF($L59&lt;&gt;"Planned","",IF($Y59&lt;=$S59,"Red",IF($Y59&lt;=$T59,"Yellow",IF($Y59&lt;=$U59,"Green","Above green"))))</f>
        <v/>
      </c>
      <c r="AA59" s="22" t="str">
        <f aca="false">IF(OR($L59&lt;&gt;"Planned",N($U59)&lt;=0),"",$Y59/$U59)</f>
        <v/>
      </c>
      <c r="AB59" s="8" t="str">
        <f aca="false">IF($L59&lt;&gt;"Planned","",IF($Y59&lt;=$T59,ROUNDUP(MAX($U59-$Y59,N($E59))/IF(N($F59)&gt;0,$F59,1)-0.000000001,0)*IF(N($F59)&gt;0,$F59,1),""))</f>
        <v/>
      </c>
      <c r="AC59" s="23" t="str">
        <f aca="false">IF(N($AB59)&gt;0,PlanDate+ROUNDUP($D59,0),"")</f>
        <v/>
      </c>
      <c r="AD59" s="19" t="str">
        <f aca="false">IF($L59&lt;&gt;"Planned","",IF(N($H59)&lt;=0,"Stockout",IF(N($H59)&lt;$S59*0.5,"Critical",IF(N($H59)&lt;=$S59,"Low",IF(N($H59)&gt;$U59,"Over top of green","OK")))))</f>
        <v/>
      </c>
      <c r="AE59" s="8" t="str">
        <f aca="false">IF($A59="","",$A59&amp;"")</f>
        <v/>
      </c>
      <c r="AF59" s="8" t="str">
        <f aca="false">IF($A59="","",SUBSTITUTE(SUBSTITUTE(SUBSTITUTE($A59&amp;"","~","~~"),"*","~*"),"?","~?"))</f>
        <v/>
      </c>
    </row>
    <row r="60" customFormat="false" ht="15" hidden="false" customHeight="false" outlineLevel="0" collapsed="false">
      <c r="A60" s="11"/>
      <c r="B60" s="11"/>
      <c r="C60" s="11"/>
      <c r="D60" s="16"/>
      <c r="E60" s="11"/>
      <c r="F60" s="11"/>
      <c r="G60" s="9"/>
      <c r="H60" s="11"/>
      <c r="I60" s="17"/>
      <c r="J60" s="18" t="str">
        <f aca="false">IF($A60="","",IF(COUNT(Usage!$C:$C)=0,"",MAX(0,SUMIFS(Usage!$C:$C,Usage!$A:$A,$AF60,Usage!$B:$B,"&gt;="&amp;(PlanDate-AduWindow),Usage!$B:$B,"&lt;"&amp;PlanDate))/AduWindow))</f>
        <v/>
      </c>
      <c r="K60" s="18" t="str">
        <f aca="false">IF($A60="","",IF(AND(ISNUMBER($I60),N($I60)&gt;=0),$I60,$J60))</f>
        <v/>
      </c>
      <c r="L60" s="19" t="str">
        <f aca="false">IF($A60="","",IF($K60="","Needs ADU",IF($K60&lt;=0,"No recent demand",IF(N($D60)&lt;=0,"Needs lead time","Planned"))))</f>
        <v/>
      </c>
      <c r="M60" s="8" t="str">
        <f aca="false">IF($A60="","",IF(ISNUMBER(MATCH($C60,Profiles!$A$2:$A$100,0)),$C60,DefaultProfile))</f>
        <v/>
      </c>
      <c r="N60" s="20" t="str">
        <f aca="false">IF($A60="","",INDEX(Profiles!$D$2:$D$100,MATCH($M60,Profiles!$A$2:$A$100,0)))</f>
        <v/>
      </c>
      <c r="O60" s="20" t="str">
        <f aca="false">IF($A60="","",INDEX(Profiles!$E$2:$E$100,MATCH($M60,Profiles!$A$2:$A$100,0)))</f>
        <v/>
      </c>
      <c r="P60" s="21" t="str">
        <f aca="false">IF($L60&lt;&gt;"Planned","",$K60*$D60*$N60*(1+$O60))</f>
        <v/>
      </c>
      <c r="Q60" s="21" t="str">
        <f aca="false">IF($L60&lt;&gt;"Planned","",$K60*$D60)</f>
        <v/>
      </c>
      <c r="R60" s="21" t="str">
        <f aca="false">IF($L60&lt;&gt;"Planned","",MAX(N($E60),$K60*$D60*$N60,$K60*N($G60)))</f>
        <v/>
      </c>
      <c r="S60" s="21" t="str">
        <f aca="false">IF($L60&lt;&gt;"Planned","",$P60)</f>
        <v/>
      </c>
      <c r="T60" s="21" t="str">
        <f aca="false">IF($L60&lt;&gt;"Planned","",$P60+$Q60)</f>
        <v/>
      </c>
      <c r="U60" s="21" t="str">
        <f aca="false">IF($L60&lt;&gt;"Planned","",$T60+$R60)</f>
        <v/>
      </c>
      <c r="V60" s="8" t="str">
        <f aca="false">IF($A60="","",SUMIFS('Open supply'!$C:$C,'Open supply'!$A:$A,$AF60))</f>
        <v/>
      </c>
      <c r="W60" s="8" t="str">
        <f aca="false">IF($A60="","",SUMIFS('Open supply'!$C:$C,'Open supply'!$A:$A,$AF60,'Open supply'!$B:$B,"&lt;"&amp;PlanDate))</f>
        <v/>
      </c>
      <c r="X60" s="8" t="str">
        <f aca="false">IF($A60="","",SUMIFS('Open demand'!$G:$G,'Open demand'!$A:$A,$AF60))</f>
        <v/>
      </c>
      <c r="Y60" s="8" t="str">
        <f aca="false">IF($L60&lt;&gt;"Planned","",N($H60)+$V60-$X60)</f>
        <v/>
      </c>
      <c r="Z60" s="19" t="str">
        <f aca="false">IF($L60&lt;&gt;"Planned","",IF($Y60&lt;=$S60,"Red",IF($Y60&lt;=$T60,"Yellow",IF($Y60&lt;=$U60,"Green","Above green"))))</f>
        <v/>
      </c>
      <c r="AA60" s="22" t="str">
        <f aca="false">IF(OR($L60&lt;&gt;"Planned",N($U60)&lt;=0),"",$Y60/$U60)</f>
        <v/>
      </c>
      <c r="AB60" s="8" t="str">
        <f aca="false">IF($L60&lt;&gt;"Planned","",IF($Y60&lt;=$T60,ROUNDUP(MAX($U60-$Y60,N($E60))/IF(N($F60)&gt;0,$F60,1)-0.000000001,0)*IF(N($F60)&gt;0,$F60,1),""))</f>
        <v/>
      </c>
      <c r="AC60" s="23" t="str">
        <f aca="false">IF(N($AB60)&gt;0,PlanDate+ROUNDUP($D60,0),"")</f>
        <v/>
      </c>
      <c r="AD60" s="19" t="str">
        <f aca="false">IF($L60&lt;&gt;"Planned","",IF(N($H60)&lt;=0,"Stockout",IF(N($H60)&lt;$S60*0.5,"Critical",IF(N($H60)&lt;=$S60,"Low",IF(N($H60)&gt;$U60,"Over top of green","OK")))))</f>
        <v/>
      </c>
      <c r="AE60" s="8" t="str">
        <f aca="false">IF($A60="","",$A60&amp;"")</f>
        <v/>
      </c>
      <c r="AF60" s="8" t="str">
        <f aca="false">IF($A60="","",SUBSTITUTE(SUBSTITUTE(SUBSTITUTE($A60&amp;"","~","~~"),"*","~*"),"?","~?"))</f>
        <v/>
      </c>
    </row>
    <row r="61" customFormat="false" ht="15" hidden="false" customHeight="false" outlineLevel="0" collapsed="false">
      <c r="A61" s="11"/>
      <c r="B61" s="11"/>
      <c r="C61" s="11"/>
      <c r="D61" s="16"/>
      <c r="E61" s="11"/>
      <c r="F61" s="11"/>
      <c r="G61" s="9"/>
      <c r="H61" s="11"/>
      <c r="I61" s="17"/>
      <c r="J61" s="18" t="str">
        <f aca="false">IF($A61="","",IF(COUNT(Usage!$C:$C)=0,"",MAX(0,SUMIFS(Usage!$C:$C,Usage!$A:$A,$AF61,Usage!$B:$B,"&gt;="&amp;(PlanDate-AduWindow),Usage!$B:$B,"&lt;"&amp;PlanDate))/AduWindow))</f>
        <v/>
      </c>
      <c r="K61" s="18" t="str">
        <f aca="false">IF($A61="","",IF(AND(ISNUMBER($I61),N($I61)&gt;=0),$I61,$J61))</f>
        <v/>
      </c>
      <c r="L61" s="19" t="str">
        <f aca="false">IF($A61="","",IF($K61="","Needs ADU",IF($K61&lt;=0,"No recent demand",IF(N($D61)&lt;=0,"Needs lead time","Planned"))))</f>
        <v/>
      </c>
      <c r="M61" s="8" t="str">
        <f aca="false">IF($A61="","",IF(ISNUMBER(MATCH($C61,Profiles!$A$2:$A$100,0)),$C61,DefaultProfile))</f>
        <v/>
      </c>
      <c r="N61" s="20" t="str">
        <f aca="false">IF($A61="","",INDEX(Profiles!$D$2:$D$100,MATCH($M61,Profiles!$A$2:$A$100,0)))</f>
        <v/>
      </c>
      <c r="O61" s="20" t="str">
        <f aca="false">IF($A61="","",INDEX(Profiles!$E$2:$E$100,MATCH($M61,Profiles!$A$2:$A$100,0)))</f>
        <v/>
      </c>
      <c r="P61" s="21" t="str">
        <f aca="false">IF($L61&lt;&gt;"Planned","",$K61*$D61*$N61*(1+$O61))</f>
        <v/>
      </c>
      <c r="Q61" s="21" t="str">
        <f aca="false">IF($L61&lt;&gt;"Planned","",$K61*$D61)</f>
        <v/>
      </c>
      <c r="R61" s="21" t="str">
        <f aca="false">IF($L61&lt;&gt;"Planned","",MAX(N($E61),$K61*$D61*$N61,$K61*N($G61)))</f>
        <v/>
      </c>
      <c r="S61" s="21" t="str">
        <f aca="false">IF($L61&lt;&gt;"Planned","",$P61)</f>
        <v/>
      </c>
      <c r="T61" s="21" t="str">
        <f aca="false">IF($L61&lt;&gt;"Planned","",$P61+$Q61)</f>
        <v/>
      </c>
      <c r="U61" s="21" t="str">
        <f aca="false">IF($L61&lt;&gt;"Planned","",$T61+$R61)</f>
        <v/>
      </c>
      <c r="V61" s="8" t="str">
        <f aca="false">IF($A61="","",SUMIFS('Open supply'!$C:$C,'Open supply'!$A:$A,$AF61))</f>
        <v/>
      </c>
      <c r="W61" s="8" t="str">
        <f aca="false">IF($A61="","",SUMIFS('Open supply'!$C:$C,'Open supply'!$A:$A,$AF61,'Open supply'!$B:$B,"&lt;"&amp;PlanDate))</f>
        <v/>
      </c>
      <c r="X61" s="8" t="str">
        <f aca="false">IF($A61="","",SUMIFS('Open demand'!$G:$G,'Open demand'!$A:$A,$AF61))</f>
        <v/>
      </c>
      <c r="Y61" s="8" t="str">
        <f aca="false">IF($L61&lt;&gt;"Planned","",N($H61)+$V61-$X61)</f>
        <v/>
      </c>
      <c r="Z61" s="19" t="str">
        <f aca="false">IF($L61&lt;&gt;"Planned","",IF($Y61&lt;=$S61,"Red",IF($Y61&lt;=$T61,"Yellow",IF($Y61&lt;=$U61,"Green","Above green"))))</f>
        <v/>
      </c>
      <c r="AA61" s="22" t="str">
        <f aca="false">IF(OR($L61&lt;&gt;"Planned",N($U61)&lt;=0),"",$Y61/$U61)</f>
        <v/>
      </c>
      <c r="AB61" s="8" t="str">
        <f aca="false">IF($L61&lt;&gt;"Planned","",IF($Y61&lt;=$T61,ROUNDUP(MAX($U61-$Y61,N($E61))/IF(N($F61)&gt;0,$F61,1)-0.000000001,0)*IF(N($F61)&gt;0,$F61,1),""))</f>
        <v/>
      </c>
      <c r="AC61" s="23" t="str">
        <f aca="false">IF(N($AB61)&gt;0,PlanDate+ROUNDUP($D61,0),"")</f>
        <v/>
      </c>
      <c r="AD61" s="19" t="str">
        <f aca="false">IF($L61&lt;&gt;"Planned","",IF(N($H61)&lt;=0,"Stockout",IF(N($H61)&lt;$S61*0.5,"Critical",IF(N($H61)&lt;=$S61,"Low",IF(N($H61)&gt;$U61,"Over top of green","OK")))))</f>
        <v/>
      </c>
      <c r="AE61" s="8" t="str">
        <f aca="false">IF($A61="","",$A61&amp;"")</f>
        <v/>
      </c>
      <c r="AF61" s="8" t="str">
        <f aca="false">IF($A61="","",SUBSTITUTE(SUBSTITUTE(SUBSTITUTE($A61&amp;"","~","~~"),"*","~*"),"?","~?"))</f>
        <v/>
      </c>
    </row>
    <row r="62" customFormat="false" ht="15" hidden="false" customHeight="false" outlineLevel="0" collapsed="false">
      <c r="A62" s="11"/>
      <c r="B62" s="11"/>
      <c r="C62" s="11"/>
      <c r="D62" s="16"/>
      <c r="E62" s="11"/>
      <c r="F62" s="11"/>
      <c r="G62" s="9"/>
      <c r="H62" s="11"/>
      <c r="I62" s="17"/>
      <c r="J62" s="18" t="str">
        <f aca="false">IF($A62="","",IF(COUNT(Usage!$C:$C)=0,"",MAX(0,SUMIFS(Usage!$C:$C,Usage!$A:$A,$AF62,Usage!$B:$B,"&gt;="&amp;(PlanDate-AduWindow),Usage!$B:$B,"&lt;"&amp;PlanDate))/AduWindow))</f>
        <v/>
      </c>
      <c r="K62" s="18" t="str">
        <f aca="false">IF($A62="","",IF(AND(ISNUMBER($I62),N($I62)&gt;=0),$I62,$J62))</f>
        <v/>
      </c>
      <c r="L62" s="19" t="str">
        <f aca="false">IF($A62="","",IF($K62="","Needs ADU",IF($K62&lt;=0,"No recent demand",IF(N($D62)&lt;=0,"Needs lead time","Planned"))))</f>
        <v/>
      </c>
      <c r="M62" s="8" t="str">
        <f aca="false">IF($A62="","",IF(ISNUMBER(MATCH($C62,Profiles!$A$2:$A$100,0)),$C62,DefaultProfile))</f>
        <v/>
      </c>
      <c r="N62" s="20" t="str">
        <f aca="false">IF($A62="","",INDEX(Profiles!$D$2:$D$100,MATCH($M62,Profiles!$A$2:$A$100,0)))</f>
        <v/>
      </c>
      <c r="O62" s="20" t="str">
        <f aca="false">IF($A62="","",INDEX(Profiles!$E$2:$E$100,MATCH($M62,Profiles!$A$2:$A$100,0)))</f>
        <v/>
      </c>
      <c r="P62" s="21" t="str">
        <f aca="false">IF($L62&lt;&gt;"Planned","",$K62*$D62*$N62*(1+$O62))</f>
        <v/>
      </c>
      <c r="Q62" s="21" t="str">
        <f aca="false">IF($L62&lt;&gt;"Planned","",$K62*$D62)</f>
        <v/>
      </c>
      <c r="R62" s="21" t="str">
        <f aca="false">IF($L62&lt;&gt;"Planned","",MAX(N($E62),$K62*$D62*$N62,$K62*N($G62)))</f>
        <v/>
      </c>
      <c r="S62" s="21" t="str">
        <f aca="false">IF($L62&lt;&gt;"Planned","",$P62)</f>
        <v/>
      </c>
      <c r="T62" s="21" t="str">
        <f aca="false">IF($L62&lt;&gt;"Planned","",$P62+$Q62)</f>
        <v/>
      </c>
      <c r="U62" s="21" t="str">
        <f aca="false">IF($L62&lt;&gt;"Planned","",$T62+$R62)</f>
        <v/>
      </c>
      <c r="V62" s="8" t="str">
        <f aca="false">IF($A62="","",SUMIFS('Open supply'!$C:$C,'Open supply'!$A:$A,$AF62))</f>
        <v/>
      </c>
      <c r="W62" s="8" t="str">
        <f aca="false">IF($A62="","",SUMIFS('Open supply'!$C:$C,'Open supply'!$A:$A,$AF62,'Open supply'!$B:$B,"&lt;"&amp;PlanDate))</f>
        <v/>
      </c>
      <c r="X62" s="8" t="str">
        <f aca="false">IF($A62="","",SUMIFS('Open demand'!$G:$G,'Open demand'!$A:$A,$AF62))</f>
        <v/>
      </c>
      <c r="Y62" s="8" t="str">
        <f aca="false">IF($L62&lt;&gt;"Planned","",N($H62)+$V62-$X62)</f>
        <v/>
      </c>
      <c r="Z62" s="19" t="str">
        <f aca="false">IF($L62&lt;&gt;"Planned","",IF($Y62&lt;=$S62,"Red",IF($Y62&lt;=$T62,"Yellow",IF($Y62&lt;=$U62,"Green","Above green"))))</f>
        <v/>
      </c>
      <c r="AA62" s="22" t="str">
        <f aca="false">IF(OR($L62&lt;&gt;"Planned",N($U62)&lt;=0),"",$Y62/$U62)</f>
        <v/>
      </c>
      <c r="AB62" s="8" t="str">
        <f aca="false">IF($L62&lt;&gt;"Planned","",IF($Y62&lt;=$T62,ROUNDUP(MAX($U62-$Y62,N($E62))/IF(N($F62)&gt;0,$F62,1)-0.000000001,0)*IF(N($F62)&gt;0,$F62,1),""))</f>
        <v/>
      </c>
      <c r="AC62" s="23" t="str">
        <f aca="false">IF(N($AB62)&gt;0,PlanDate+ROUNDUP($D62,0),"")</f>
        <v/>
      </c>
      <c r="AD62" s="19" t="str">
        <f aca="false">IF($L62&lt;&gt;"Planned","",IF(N($H62)&lt;=0,"Stockout",IF(N($H62)&lt;$S62*0.5,"Critical",IF(N($H62)&lt;=$S62,"Low",IF(N($H62)&gt;$U62,"Over top of green","OK")))))</f>
        <v/>
      </c>
      <c r="AE62" s="8" t="str">
        <f aca="false">IF($A62="","",$A62&amp;"")</f>
        <v/>
      </c>
      <c r="AF62" s="8" t="str">
        <f aca="false">IF($A62="","",SUBSTITUTE(SUBSTITUTE(SUBSTITUTE($A62&amp;"","~","~~"),"*","~*"),"?","~?"))</f>
        <v/>
      </c>
    </row>
    <row r="63" customFormat="false" ht="15" hidden="false" customHeight="false" outlineLevel="0" collapsed="false">
      <c r="A63" s="11"/>
      <c r="B63" s="11"/>
      <c r="C63" s="11"/>
      <c r="D63" s="16"/>
      <c r="E63" s="11"/>
      <c r="F63" s="11"/>
      <c r="G63" s="9"/>
      <c r="H63" s="11"/>
      <c r="I63" s="17"/>
      <c r="J63" s="18" t="str">
        <f aca="false">IF($A63="","",IF(COUNT(Usage!$C:$C)=0,"",MAX(0,SUMIFS(Usage!$C:$C,Usage!$A:$A,$AF63,Usage!$B:$B,"&gt;="&amp;(PlanDate-AduWindow),Usage!$B:$B,"&lt;"&amp;PlanDate))/AduWindow))</f>
        <v/>
      </c>
      <c r="K63" s="18" t="str">
        <f aca="false">IF($A63="","",IF(AND(ISNUMBER($I63),N($I63)&gt;=0),$I63,$J63))</f>
        <v/>
      </c>
      <c r="L63" s="19" t="str">
        <f aca="false">IF($A63="","",IF($K63="","Needs ADU",IF($K63&lt;=0,"No recent demand",IF(N($D63)&lt;=0,"Needs lead time","Planned"))))</f>
        <v/>
      </c>
      <c r="M63" s="8" t="str">
        <f aca="false">IF($A63="","",IF(ISNUMBER(MATCH($C63,Profiles!$A$2:$A$100,0)),$C63,DefaultProfile))</f>
        <v/>
      </c>
      <c r="N63" s="20" t="str">
        <f aca="false">IF($A63="","",INDEX(Profiles!$D$2:$D$100,MATCH($M63,Profiles!$A$2:$A$100,0)))</f>
        <v/>
      </c>
      <c r="O63" s="20" t="str">
        <f aca="false">IF($A63="","",INDEX(Profiles!$E$2:$E$100,MATCH($M63,Profiles!$A$2:$A$100,0)))</f>
        <v/>
      </c>
      <c r="P63" s="21" t="str">
        <f aca="false">IF($L63&lt;&gt;"Planned","",$K63*$D63*$N63*(1+$O63))</f>
        <v/>
      </c>
      <c r="Q63" s="21" t="str">
        <f aca="false">IF($L63&lt;&gt;"Planned","",$K63*$D63)</f>
        <v/>
      </c>
      <c r="R63" s="21" t="str">
        <f aca="false">IF($L63&lt;&gt;"Planned","",MAX(N($E63),$K63*$D63*$N63,$K63*N($G63)))</f>
        <v/>
      </c>
      <c r="S63" s="21" t="str">
        <f aca="false">IF($L63&lt;&gt;"Planned","",$P63)</f>
        <v/>
      </c>
      <c r="T63" s="21" t="str">
        <f aca="false">IF($L63&lt;&gt;"Planned","",$P63+$Q63)</f>
        <v/>
      </c>
      <c r="U63" s="21" t="str">
        <f aca="false">IF($L63&lt;&gt;"Planned","",$T63+$R63)</f>
        <v/>
      </c>
      <c r="V63" s="8" t="str">
        <f aca="false">IF($A63="","",SUMIFS('Open supply'!$C:$C,'Open supply'!$A:$A,$AF63))</f>
        <v/>
      </c>
      <c r="W63" s="8" t="str">
        <f aca="false">IF($A63="","",SUMIFS('Open supply'!$C:$C,'Open supply'!$A:$A,$AF63,'Open supply'!$B:$B,"&lt;"&amp;PlanDate))</f>
        <v/>
      </c>
      <c r="X63" s="8" t="str">
        <f aca="false">IF($A63="","",SUMIFS('Open demand'!$G:$G,'Open demand'!$A:$A,$AF63))</f>
        <v/>
      </c>
      <c r="Y63" s="8" t="str">
        <f aca="false">IF($L63&lt;&gt;"Planned","",N($H63)+$V63-$X63)</f>
        <v/>
      </c>
      <c r="Z63" s="19" t="str">
        <f aca="false">IF($L63&lt;&gt;"Planned","",IF($Y63&lt;=$S63,"Red",IF($Y63&lt;=$T63,"Yellow",IF($Y63&lt;=$U63,"Green","Above green"))))</f>
        <v/>
      </c>
      <c r="AA63" s="22" t="str">
        <f aca="false">IF(OR($L63&lt;&gt;"Planned",N($U63)&lt;=0),"",$Y63/$U63)</f>
        <v/>
      </c>
      <c r="AB63" s="8" t="str">
        <f aca="false">IF($L63&lt;&gt;"Planned","",IF($Y63&lt;=$T63,ROUNDUP(MAX($U63-$Y63,N($E63))/IF(N($F63)&gt;0,$F63,1)-0.000000001,0)*IF(N($F63)&gt;0,$F63,1),""))</f>
        <v/>
      </c>
      <c r="AC63" s="23" t="str">
        <f aca="false">IF(N($AB63)&gt;0,PlanDate+ROUNDUP($D63,0),"")</f>
        <v/>
      </c>
      <c r="AD63" s="19" t="str">
        <f aca="false">IF($L63&lt;&gt;"Planned","",IF(N($H63)&lt;=0,"Stockout",IF(N($H63)&lt;$S63*0.5,"Critical",IF(N($H63)&lt;=$S63,"Low",IF(N($H63)&gt;$U63,"Over top of green","OK")))))</f>
        <v/>
      </c>
      <c r="AE63" s="8" t="str">
        <f aca="false">IF($A63="","",$A63&amp;"")</f>
        <v/>
      </c>
      <c r="AF63" s="8" t="str">
        <f aca="false">IF($A63="","",SUBSTITUTE(SUBSTITUTE(SUBSTITUTE($A63&amp;"","~","~~"),"*","~*"),"?","~?"))</f>
        <v/>
      </c>
    </row>
    <row r="64" customFormat="false" ht="15" hidden="false" customHeight="false" outlineLevel="0" collapsed="false">
      <c r="A64" s="11"/>
      <c r="B64" s="11"/>
      <c r="C64" s="11"/>
      <c r="D64" s="16"/>
      <c r="E64" s="11"/>
      <c r="F64" s="11"/>
      <c r="G64" s="9"/>
      <c r="H64" s="11"/>
      <c r="I64" s="17"/>
      <c r="J64" s="18" t="str">
        <f aca="false">IF($A64="","",IF(COUNT(Usage!$C:$C)=0,"",MAX(0,SUMIFS(Usage!$C:$C,Usage!$A:$A,$AF64,Usage!$B:$B,"&gt;="&amp;(PlanDate-AduWindow),Usage!$B:$B,"&lt;"&amp;PlanDate))/AduWindow))</f>
        <v/>
      </c>
      <c r="K64" s="18" t="str">
        <f aca="false">IF($A64="","",IF(AND(ISNUMBER($I64),N($I64)&gt;=0),$I64,$J64))</f>
        <v/>
      </c>
      <c r="L64" s="19" t="str">
        <f aca="false">IF($A64="","",IF($K64="","Needs ADU",IF($K64&lt;=0,"No recent demand",IF(N($D64)&lt;=0,"Needs lead time","Planned"))))</f>
        <v/>
      </c>
      <c r="M64" s="8" t="str">
        <f aca="false">IF($A64="","",IF(ISNUMBER(MATCH($C64,Profiles!$A$2:$A$100,0)),$C64,DefaultProfile))</f>
        <v/>
      </c>
      <c r="N64" s="20" t="str">
        <f aca="false">IF($A64="","",INDEX(Profiles!$D$2:$D$100,MATCH($M64,Profiles!$A$2:$A$100,0)))</f>
        <v/>
      </c>
      <c r="O64" s="20" t="str">
        <f aca="false">IF($A64="","",INDEX(Profiles!$E$2:$E$100,MATCH($M64,Profiles!$A$2:$A$100,0)))</f>
        <v/>
      </c>
      <c r="P64" s="21" t="str">
        <f aca="false">IF($L64&lt;&gt;"Planned","",$K64*$D64*$N64*(1+$O64))</f>
        <v/>
      </c>
      <c r="Q64" s="21" t="str">
        <f aca="false">IF($L64&lt;&gt;"Planned","",$K64*$D64)</f>
        <v/>
      </c>
      <c r="R64" s="21" t="str">
        <f aca="false">IF($L64&lt;&gt;"Planned","",MAX(N($E64),$K64*$D64*$N64,$K64*N($G64)))</f>
        <v/>
      </c>
      <c r="S64" s="21" t="str">
        <f aca="false">IF($L64&lt;&gt;"Planned","",$P64)</f>
        <v/>
      </c>
      <c r="T64" s="21" t="str">
        <f aca="false">IF($L64&lt;&gt;"Planned","",$P64+$Q64)</f>
        <v/>
      </c>
      <c r="U64" s="21" t="str">
        <f aca="false">IF($L64&lt;&gt;"Planned","",$T64+$R64)</f>
        <v/>
      </c>
      <c r="V64" s="8" t="str">
        <f aca="false">IF($A64="","",SUMIFS('Open supply'!$C:$C,'Open supply'!$A:$A,$AF64))</f>
        <v/>
      </c>
      <c r="W64" s="8" t="str">
        <f aca="false">IF($A64="","",SUMIFS('Open supply'!$C:$C,'Open supply'!$A:$A,$AF64,'Open supply'!$B:$B,"&lt;"&amp;PlanDate))</f>
        <v/>
      </c>
      <c r="X64" s="8" t="str">
        <f aca="false">IF($A64="","",SUMIFS('Open demand'!$G:$G,'Open demand'!$A:$A,$AF64))</f>
        <v/>
      </c>
      <c r="Y64" s="8" t="str">
        <f aca="false">IF($L64&lt;&gt;"Planned","",N($H64)+$V64-$X64)</f>
        <v/>
      </c>
      <c r="Z64" s="19" t="str">
        <f aca="false">IF($L64&lt;&gt;"Planned","",IF($Y64&lt;=$S64,"Red",IF($Y64&lt;=$T64,"Yellow",IF($Y64&lt;=$U64,"Green","Above green"))))</f>
        <v/>
      </c>
      <c r="AA64" s="22" t="str">
        <f aca="false">IF(OR($L64&lt;&gt;"Planned",N($U64)&lt;=0),"",$Y64/$U64)</f>
        <v/>
      </c>
      <c r="AB64" s="8" t="str">
        <f aca="false">IF($L64&lt;&gt;"Planned","",IF($Y64&lt;=$T64,ROUNDUP(MAX($U64-$Y64,N($E64))/IF(N($F64)&gt;0,$F64,1)-0.000000001,0)*IF(N($F64)&gt;0,$F64,1),""))</f>
        <v/>
      </c>
      <c r="AC64" s="23" t="str">
        <f aca="false">IF(N($AB64)&gt;0,PlanDate+ROUNDUP($D64,0),"")</f>
        <v/>
      </c>
      <c r="AD64" s="19" t="str">
        <f aca="false">IF($L64&lt;&gt;"Planned","",IF(N($H64)&lt;=0,"Stockout",IF(N($H64)&lt;$S64*0.5,"Critical",IF(N($H64)&lt;=$S64,"Low",IF(N($H64)&gt;$U64,"Over top of green","OK")))))</f>
        <v/>
      </c>
      <c r="AE64" s="8" t="str">
        <f aca="false">IF($A64="","",$A64&amp;"")</f>
        <v/>
      </c>
      <c r="AF64" s="8" t="str">
        <f aca="false">IF($A64="","",SUBSTITUTE(SUBSTITUTE(SUBSTITUTE($A64&amp;"","~","~~"),"*","~*"),"?","~?"))</f>
        <v/>
      </c>
    </row>
    <row r="65" customFormat="false" ht="15" hidden="false" customHeight="false" outlineLevel="0" collapsed="false">
      <c r="A65" s="11"/>
      <c r="B65" s="11"/>
      <c r="C65" s="11"/>
      <c r="D65" s="16"/>
      <c r="E65" s="11"/>
      <c r="F65" s="11"/>
      <c r="G65" s="9"/>
      <c r="H65" s="11"/>
      <c r="I65" s="17"/>
      <c r="J65" s="18" t="str">
        <f aca="false">IF($A65="","",IF(COUNT(Usage!$C:$C)=0,"",MAX(0,SUMIFS(Usage!$C:$C,Usage!$A:$A,$AF65,Usage!$B:$B,"&gt;="&amp;(PlanDate-AduWindow),Usage!$B:$B,"&lt;"&amp;PlanDate))/AduWindow))</f>
        <v/>
      </c>
      <c r="K65" s="18" t="str">
        <f aca="false">IF($A65="","",IF(AND(ISNUMBER($I65),N($I65)&gt;=0),$I65,$J65))</f>
        <v/>
      </c>
      <c r="L65" s="19" t="str">
        <f aca="false">IF($A65="","",IF($K65="","Needs ADU",IF($K65&lt;=0,"No recent demand",IF(N($D65)&lt;=0,"Needs lead time","Planned"))))</f>
        <v/>
      </c>
      <c r="M65" s="8" t="str">
        <f aca="false">IF($A65="","",IF(ISNUMBER(MATCH($C65,Profiles!$A$2:$A$100,0)),$C65,DefaultProfile))</f>
        <v/>
      </c>
      <c r="N65" s="20" t="str">
        <f aca="false">IF($A65="","",INDEX(Profiles!$D$2:$D$100,MATCH($M65,Profiles!$A$2:$A$100,0)))</f>
        <v/>
      </c>
      <c r="O65" s="20" t="str">
        <f aca="false">IF($A65="","",INDEX(Profiles!$E$2:$E$100,MATCH($M65,Profiles!$A$2:$A$100,0)))</f>
        <v/>
      </c>
      <c r="P65" s="21" t="str">
        <f aca="false">IF($L65&lt;&gt;"Planned","",$K65*$D65*$N65*(1+$O65))</f>
        <v/>
      </c>
      <c r="Q65" s="21" t="str">
        <f aca="false">IF($L65&lt;&gt;"Planned","",$K65*$D65)</f>
        <v/>
      </c>
      <c r="R65" s="21" t="str">
        <f aca="false">IF($L65&lt;&gt;"Planned","",MAX(N($E65),$K65*$D65*$N65,$K65*N($G65)))</f>
        <v/>
      </c>
      <c r="S65" s="21" t="str">
        <f aca="false">IF($L65&lt;&gt;"Planned","",$P65)</f>
        <v/>
      </c>
      <c r="T65" s="21" t="str">
        <f aca="false">IF($L65&lt;&gt;"Planned","",$P65+$Q65)</f>
        <v/>
      </c>
      <c r="U65" s="21" t="str">
        <f aca="false">IF($L65&lt;&gt;"Planned","",$T65+$R65)</f>
        <v/>
      </c>
      <c r="V65" s="8" t="str">
        <f aca="false">IF($A65="","",SUMIFS('Open supply'!$C:$C,'Open supply'!$A:$A,$AF65))</f>
        <v/>
      </c>
      <c r="W65" s="8" t="str">
        <f aca="false">IF($A65="","",SUMIFS('Open supply'!$C:$C,'Open supply'!$A:$A,$AF65,'Open supply'!$B:$B,"&lt;"&amp;PlanDate))</f>
        <v/>
      </c>
      <c r="X65" s="8" t="str">
        <f aca="false">IF($A65="","",SUMIFS('Open demand'!$G:$G,'Open demand'!$A:$A,$AF65))</f>
        <v/>
      </c>
      <c r="Y65" s="8" t="str">
        <f aca="false">IF($L65&lt;&gt;"Planned","",N($H65)+$V65-$X65)</f>
        <v/>
      </c>
      <c r="Z65" s="19" t="str">
        <f aca="false">IF($L65&lt;&gt;"Planned","",IF($Y65&lt;=$S65,"Red",IF($Y65&lt;=$T65,"Yellow",IF($Y65&lt;=$U65,"Green","Above green"))))</f>
        <v/>
      </c>
      <c r="AA65" s="22" t="str">
        <f aca="false">IF(OR($L65&lt;&gt;"Planned",N($U65)&lt;=0),"",$Y65/$U65)</f>
        <v/>
      </c>
      <c r="AB65" s="8" t="str">
        <f aca="false">IF($L65&lt;&gt;"Planned","",IF($Y65&lt;=$T65,ROUNDUP(MAX($U65-$Y65,N($E65))/IF(N($F65)&gt;0,$F65,1)-0.000000001,0)*IF(N($F65)&gt;0,$F65,1),""))</f>
        <v/>
      </c>
      <c r="AC65" s="23" t="str">
        <f aca="false">IF(N($AB65)&gt;0,PlanDate+ROUNDUP($D65,0),"")</f>
        <v/>
      </c>
      <c r="AD65" s="19" t="str">
        <f aca="false">IF($L65&lt;&gt;"Planned","",IF(N($H65)&lt;=0,"Stockout",IF(N($H65)&lt;$S65*0.5,"Critical",IF(N($H65)&lt;=$S65,"Low",IF(N($H65)&gt;$U65,"Over top of green","OK")))))</f>
        <v/>
      </c>
      <c r="AE65" s="8" t="str">
        <f aca="false">IF($A65="","",$A65&amp;"")</f>
        <v/>
      </c>
      <c r="AF65" s="8" t="str">
        <f aca="false">IF($A65="","",SUBSTITUTE(SUBSTITUTE(SUBSTITUTE($A65&amp;"","~","~~"),"*","~*"),"?","~?"))</f>
        <v/>
      </c>
    </row>
    <row r="66" customFormat="false" ht="15" hidden="false" customHeight="false" outlineLevel="0" collapsed="false">
      <c r="A66" s="11"/>
      <c r="B66" s="11"/>
      <c r="C66" s="11"/>
      <c r="D66" s="16"/>
      <c r="E66" s="11"/>
      <c r="F66" s="11"/>
      <c r="G66" s="9"/>
      <c r="H66" s="11"/>
      <c r="I66" s="17"/>
      <c r="J66" s="18" t="str">
        <f aca="false">IF($A66="","",IF(COUNT(Usage!$C:$C)=0,"",MAX(0,SUMIFS(Usage!$C:$C,Usage!$A:$A,$AF66,Usage!$B:$B,"&gt;="&amp;(PlanDate-AduWindow),Usage!$B:$B,"&lt;"&amp;PlanDate))/AduWindow))</f>
        <v/>
      </c>
      <c r="K66" s="18" t="str">
        <f aca="false">IF($A66="","",IF(AND(ISNUMBER($I66),N($I66)&gt;=0),$I66,$J66))</f>
        <v/>
      </c>
      <c r="L66" s="19" t="str">
        <f aca="false">IF($A66="","",IF($K66="","Needs ADU",IF($K66&lt;=0,"No recent demand",IF(N($D66)&lt;=0,"Needs lead time","Planned"))))</f>
        <v/>
      </c>
      <c r="M66" s="8" t="str">
        <f aca="false">IF($A66="","",IF(ISNUMBER(MATCH($C66,Profiles!$A$2:$A$100,0)),$C66,DefaultProfile))</f>
        <v/>
      </c>
      <c r="N66" s="20" t="str">
        <f aca="false">IF($A66="","",INDEX(Profiles!$D$2:$D$100,MATCH($M66,Profiles!$A$2:$A$100,0)))</f>
        <v/>
      </c>
      <c r="O66" s="20" t="str">
        <f aca="false">IF($A66="","",INDEX(Profiles!$E$2:$E$100,MATCH($M66,Profiles!$A$2:$A$100,0)))</f>
        <v/>
      </c>
      <c r="P66" s="21" t="str">
        <f aca="false">IF($L66&lt;&gt;"Planned","",$K66*$D66*$N66*(1+$O66))</f>
        <v/>
      </c>
      <c r="Q66" s="21" t="str">
        <f aca="false">IF($L66&lt;&gt;"Planned","",$K66*$D66)</f>
        <v/>
      </c>
      <c r="R66" s="21" t="str">
        <f aca="false">IF($L66&lt;&gt;"Planned","",MAX(N($E66),$K66*$D66*$N66,$K66*N($G66)))</f>
        <v/>
      </c>
      <c r="S66" s="21" t="str">
        <f aca="false">IF($L66&lt;&gt;"Planned","",$P66)</f>
        <v/>
      </c>
      <c r="T66" s="21" t="str">
        <f aca="false">IF($L66&lt;&gt;"Planned","",$P66+$Q66)</f>
        <v/>
      </c>
      <c r="U66" s="21" t="str">
        <f aca="false">IF($L66&lt;&gt;"Planned","",$T66+$R66)</f>
        <v/>
      </c>
      <c r="V66" s="8" t="str">
        <f aca="false">IF($A66="","",SUMIFS('Open supply'!$C:$C,'Open supply'!$A:$A,$AF66))</f>
        <v/>
      </c>
      <c r="W66" s="8" t="str">
        <f aca="false">IF($A66="","",SUMIFS('Open supply'!$C:$C,'Open supply'!$A:$A,$AF66,'Open supply'!$B:$B,"&lt;"&amp;PlanDate))</f>
        <v/>
      </c>
      <c r="X66" s="8" t="str">
        <f aca="false">IF($A66="","",SUMIFS('Open demand'!$G:$G,'Open demand'!$A:$A,$AF66))</f>
        <v/>
      </c>
      <c r="Y66" s="8" t="str">
        <f aca="false">IF($L66&lt;&gt;"Planned","",N($H66)+$V66-$X66)</f>
        <v/>
      </c>
      <c r="Z66" s="19" t="str">
        <f aca="false">IF($L66&lt;&gt;"Planned","",IF($Y66&lt;=$S66,"Red",IF($Y66&lt;=$T66,"Yellow",IF($Y66&lt;=$U66,"Green","Above green"))))</f>
        <v/>
      </c>
      <c r="AA66" s="22" t="str">
        <f aca="false">IF(OR($L66&lt;&gt;"Planned",N($U66)&lt;=0),"",$Y66/$U66)</f>
        <v/>
      </c>
      <c r="AB66" s="8" t="str">
        <f aca="false">IF($L66&lt;&gt;"Planned","",IF($Y66&lt;=$T66,ROUNDUP(MAX($U66-$Y66,N($E66))/IF(N($F66)&gt;0,$F66,1)-0.000000001,0)*IF(N($F66)&gt;0,$F66,1),""))</f>
        <v/>
      </c>
      <c r="AC66" s="23" t="str">
        <f aca="false">IF(N($AB66)&gt;0,PlanDate+ROUNDUP($D66,0),"")</f>
        <v/>
      </c>
      <c r="AD66" s="19" t="str">
        <f aca="false">IF($L66&lt;&gt;"Planned","",IF(N($H66)&lt;=0,"Stockout",IF(N($H66)&lt;$S66*0.5,"Critical",IF(N($H66)&lt;=$S66,"Low",IF(N($H66)&gt;$U66,"Over top of green","OK")))))</f>
        <v/>
      </c>
      <c r="AE66" s="8" t="str">
        <f aca="false">IF($A66="","",$A66&amp;"")</f>
        <v/>
      </c>
      <c r="AF66" s="8" t="str">
        <f aca="false">IF($A66="","",SUBSTITUTE(SUBSTITUTE(SUBSTITUTE($A66&amp;"","~","~~"),"*","~*"),"?","~?"))</f>
        <v/>
      </c>
    </row>
    <row r="67" customFormat="false" ht="15" hidden="false" customHeight="false" outlineLevel="0" collapsed="false">
      <c r="A67" s="11"/>
      <c r="B67" s="11"/>
      <c r="C67" s="11"/>
      <c r="D67" s="16"/>
      <c r="E67" s="11"/>
      <c r="F67" s="11"/>
      <c r="G67" s="9"/>
      <c r="H67" s="11"/>
      <c r="I67" s="17"/>
      <c r="J67" s="18" t="str">
        <f aca="false">IF($A67="","",IF(COUNT(Usage!$C:$C)=0,"",MAX(0,SUMIFS(Usage!$C:$C,Usage!$A:$A,$AF67,Usage!$B:$B,"&gt;="&amp;(PlanDate-AduWindow),Usage!$B:$B,"&lt;"&amp;PlanDate))/AduWindow))</f>
        <v/>
      </c>
      <c r="K67" s="18" t="str">
        <f aca="false">IF($A67="","",IF(AND(ISNUMBER($I67),N($I67)&gt;=0),$I67,$J67))</f>
        <v/>
      </c>
      <c r="L67" s="19" t="str">
        <f aca="false">IF($A67="","",IF($K67="","Needs ADU",IF($K67&lt;=0,"No recent demand",IF(N($D67)&lt;=0,"Needs lead time","Planned"))))</f>
        <v/>
      </c>
      <c r="M67" s="8" t="str">
        <f aca="false">IF($A67="","",IF(ISNUMBER(MATCH($C67,Profiles!$A$2:$A$100,0)),$C67,DefaultProfile))</f>
        <v/>
      </c>
      <c r="N67" s="20" t="str">
        <f aca="false">IF($A67="","",INDEX(Profiles!$D$2:$D$100,MATCH($M67,Profiles!$A$2:$A$100,0)))</f>
        <v/>
      </c>
      <c r="O67" s="20" t="str">
        <f aca="false">IF($A67="","",INDEX(Profiles!$E$2:$E$100,MATCH($M67,Profiles!$A$2:$A$100,0)))</f>
        <v/>
      </c>
      <c r="P67" s="21" t="str">
        <f aca="false">IF($L67&lt;&gt;"Planned","",$K67*$D67*$N67*(1+$O67))</f>
        <v/>
      </c>
      <c r="Q67" s="21" t="str">
        <f aca="false">IF($L67&lt;&gt;"Planned","",$K67*$D67)</f>
        <v/>
      </c>
      <c r="R67" s="21" t="str">
        <f aca="false">IF($L67&lt;&gt;"Planned","",MAX(N($E67),$K67*$D67*$N67,$K67*N($G67)))</f>
        <v/>
      </c>
      <c r="S67" s="21" t="str">
        <f aca="false">IF($L67&lt;&gt;"Planned","",$P67)</f>
        <v/>
      </c>
      <c r="T67" s="21" t="str">
        <f aca="false">IF($L67&lt;&gt;"Planned","",$P67+$Q67)</f>
        <v/>
      </c>
      <c r="U67" s="21" t="str">
        <f aca="false">IF($L67&lt;&gt;"Planned","",$T67+$R67)</f>
        <v/>
      </c>
      <c r="V67" s="8" t="str">
        <f aca="false">IF($A67="","",SUMIFS('Open supply'!$C:$C,'Open supply'!$A:$A,$AF67))</f>
        <v/>
      </c>
      <c r="W67" s="8" t="str">
        <f aca="false">IF($A67="","",SUMIFS('Open supply'!$C:$C,'Open supply'!$A:$A,$AF67,'Open supply'!$B:$B,"&lt;"&amp;PlanDate))</f>
        <v/>
      </c>
      <c r="X67" s="8" t="str">
        <f aca="false">IF($A67="","",SUMIFS('Open demand'!$G:$G,'Open demand'!$A:$A,$AF67))</f>
        <v/>
      </c>
      <c r="Y67" s="8" t="str">
        <f aca="false">IF($L67&lt;&gt;"Planned","",N($H67)+$V67-$X67)</f>
        <v/>
      </c>
      <c r="Z67" s="19" t="str">
        <f aca="false">IF($L67&lt;&gt;"Planned","",IF($Y67&lt;=$S67,"Red",IF($Y67&lt;=$T67,"Yellow",IF($Y67&lt;=$U67,"Green","Above green"))))</f>
        <v/>
      </c>
      <c r="AA67" s="22" t="str">
        <f aca="false">IF(OR($L67&lt;&gt;"Planned",N($U67)&lt;=0),"",$Y67/$U67)</f>
        <v/>
      </c>
      <c r="AB67" s="8" t="str">
        <f aca="false">IF($L67&lt;&gt;"Planned","",IF($Y67&lt;=$T67,ROUNDUP(MAX($U67-$Y67,N($E67))/IF(N($F67)&gt;0,$F67,1)-0.000000001,0)*IF(N($F67)&gt;0,$F67,1),""))</f>
        <v/>
      </c>
      <c r="AC67" s="23" t="str">
        <f aca="false">IF(N($AB67)&gt;0,PlanDate+ROUNDUP($D67,0),"")</f>
        <v/>
      </c>
      <c r="AD67" s="19" t="str">
        <f aca="false">IF($L67&lt;&gt;"Planned","",IF(N($H67)&lt;=0,"Stockout",IF(N($H67)&lt;$S67*0.5,"Critical",IF(N($H67)&lt;=$S67,"Low",IF(N($H67)&gt;$U67,"Over top of green","OK")))))</f>
        <v/>
      </c>
      <c r="AE67" s="8" t="str">
        <f aca="false">IF($A67="","",$A67&amp;"")</f>
        <v/>
      </c>
      <c r="AF67" s="8" t="str">
        <f aca="false">IF($A67="","",SUBSTITUTE(SUBSTITUTE(SUBSTITUTE($A67&amp;"","~","~~"),"*","~*"),"?","~?"))</f>
        <v/>
      </c>
    </row>
    <row r="68" customFormat="false" ht="15" hidden="false" customHeight="false" outlineLevel="0" collapsed="false">
      <c r="A68" s="11"/>
      <c r="B68" s="11"/>
      <c r="C68" s="11"/>
      <c r="D68" s="16"/>
      <c r="E68" s="11"/>
      <c r="F68" s="11"/>
      <c r="G68" s="9"/>
      <c r="H68" s="11"/>
      <c r="I68" s="17"/>
      <c r="J68" s="18" t="str">
        <f aca="false">IF($A68="","",IF(COUNT(Usage!$C:$C)=0,"",MAX(0,SUMIFS(Usage!$C:$C,Usage!$A:$A,$AF68,Usage!$B:$B,"&gt;="&amp;(PlanDate-AduWindow),Usage!$B:$B,"&lt;"&amp;PlanDate))/AduWindow))</f>
        <v/>
      </c>
      <c r="K68" s="18" t="str">
        <f aca="false">IF($A68="","",IF(AND(ISNUMBER($I68),N($I68)&gt;=0),$I68,$J68))</f>
        <v/>
      </c>
      <c r="L68" s="19" t="str">
        <f aca="false">IF($A68="","",IF($K68="","Needs ADU",IF($K68&lt;=0,"No recent demand",IF(N($D68)&lt;=0,"Needs lead time","Planned"))))</f>
        <v/>
      </c>
      <c r="M68" s="8" t="str">
        <f aca="false">IF($A68="","",IF(ISNUMBER(MATCH($C68,Profiles!$A$2:$A$100,0)),$C68,DefaultProfile))</f>
        <v/>
      </c>
      <c r="N68" s="20" t="str">
        <f aca="false">IF($A68="","",INDEX(Profiles!$D$2:$D$100,MATCH($M68,Profiles!$A$2:$A$100,0)))</f>
        <v/>
      </c>
      <c r="O68" s="20" t="str">
        <f aca="false">IF($A68="","",INDEX(Profiles!$E$2:$E$100,MATCH($M68,Profiles!$A$2:$A$100,0)))</f>
        <v/>
      </c>
      <c r="P68" s="21" t="str">
        <f aca="false">IF($L68&lt;&gt;"Planned","",$K68*$D68*$N68*(1+$O68))</f>
        <v/>
      </c>
      <c r="Q68" s="21" t="str">
        <f aca="false">IF($L68&lt;&gt;"Planned","",$K68*$D68)</f>
        <v/>
      </c>
      <c r="R68" s="21" t="str">
        <f aca="false">IF($L68&lt;&gt;"Planned","",MAX(N($E68),$K68*$D68*$N68,$K68*N($G68)))</f>
        <v/>
      </c>
      <c r="S68" s="21" t="str">
        <f aca="false">IF($L68&lt;&gt;"Planned","",$P68)</f>
        <v/>
      </c>
      <c r="T68" s="21" t="str">
        <f aca="false">IF($L68&lt;&gt;"Planned","",$P68+$Q68)</f>
        <v/>
      </c>
      <c r="U68" s="21" t="str">
        <f aca="false">IF($L68&lt;&gt;"Planned","",$T68+$R68)</f>
        <v/>
      </c>
      <c r="V68" s="8" t="str">
        <f aca="false">IF($A68="","",SUMIFS('Open supply'!$C:$C,'Open supply'!$A:$A,$AF68))</f>
        <v/>
      </c>
      <c r="W68" s="8" t="str">
        <f aca="false">IF($A68="","",SUMIFS('Open supply'!$C:$C,'Open supply'!$A:$A,$AF68,'Open supply'!$B:$B,"&lt;"&amp;PlanDate))</f>
        <v/>
      </c>
      <c r="X68" s="8" t="str">
        <f aca="false">IF($A68="","",SUMIFS('Open demand'!$G:$G,'Open demand'!$A:$A,$AF68))</f>
        <v/>
      </c>
      <c r="Y68" s="8" t="str">
        <f aca="false">IF($L68&lt;&gt;"Planned","",N($H68)+$V68-$X68)</f>
        <v/>
      </c>
      <c r="Z68" s="19" t="str">
        <f aca="false">IF($L68&lt;&gt;"Planned","",IF($Y68&lt;=$S68,"Red",IF($Y68&lt;=$T68,"Yellow",IF($Y68&lt;=$U68,"Green","Above green"))))</f>
        <v/>
      </c>
      <c r="AA68" s="22" t="str">
        <f aca="false">IF(OR($L68&lt;&gt;"Planned",N($U68)&lt;=0),"",$Y68/$U68)</f>
        <v/>
      </c>
      <c r="AB68" s="8" t="str">
        <f aca="false">IF($L68&lt;&gt;"Planned","",IF($Y68&lt;=$T68,ROUNDUP(MAX($U68-$Y68,N($E68))/IF(N($F68)&gt;0,$F68,1)-0.000000001,0)*IF(N($F68)&gt;0,$F68,1),""))</f>
        <v/>
      </c>
      <c r="AC68" s="23" t="str">
        <f aca="false">IF(N($AB68)&gt;0,PlanDate+ROUNDUP($D68,0),"")</f>
        <v/>
      </c>
      <c r="AD68" s="19" t="str">
        <f aca="false">IF($L68&lt;&gt;"Planned","",IF(N($H68)&lt;=0,"Stockout",IF(N($H68)&lt;$S68*0.5,"Critical",IF(N($H68)&lt;=$S68,"Low",IF(N($H68)&gt;$U68,"Over top of green","OK")))))</f>
        <v/>
      </c>
      <c r="AE68" s="8" t="str">
        <f aca="false">IF($A68="","",$A68&amp;"")</f>
        <v/>
      </c>
      <c r="AF68" s="8" t="str">
        <f aca="false">IF($A68="","",SUBSTITUTE(SUBSTITUTE(SUBSTITUTE($A68&amp;"","~","~~"),"*","~*"),"?","~?"))</f>
        <v/>
      </c>
    </row>
    <row r="69" customFormat="false" ht="15" hidden="false" customHeight="false" outlineLevel="0" collapsed="false">
      <c r="A69" s="11"/>
      <c r="B69" s="11"/>
      <c r="C69" s="11"/>
      <c r="D69" s="16"/>
      <c r="E69" s="11"/>
      <c r="F69" s="11"/>
      <c r="G69" s="9"/>
      <c r="H69" s="11"/>
      <c r="I69" s="17"/>
      <c r="J69" s="18" t="str">
        <f aca="false">IF($A69="","",IF(COUNT(Usage!$C:$C)=0,"",MAX(0,SUMIFS(Usage!$C:$C,Usage!$A:$A,$AF69,Usage!$B:$B,"&gt;="&amp;(PlanDate-AduWindow),Usage!$B:$B,"&lt;"&amp;PlanDate))/AduWindow))</f>
        <v/>
      </c>
      <c r="K69" s="18" t="str">
        <f aca="false">IF($A69="","",IF(AND(ISNUMBER($I69),N($I69)&gt;=0),$I69,$J69))</f>
        <v/>
      </c>
      <c r="L69" s="19" t="str">
        <f aca="false">IF($A69="","",IF($K69="","Needs ADU",IF($K69&lt;=0,"No recent demand",IF(N($D69)&lt;=0,"Needs lead time","Planned"))))</f>
        <v/>
      </c>
      <c r="M69" s="8" t="str">
        <f aca="false">IF($A69="","",IF(ISNUMBER(MATCH($C69,Profiles!$A$2:$A$100,0)),$C69,DefaultProfile))</f>
        <v/>
      </c>
      <c r="N69" s="20" t="str">
        <f aca="false">IF($A69="","",INDEX(Profiles!$D$2:$D$100,MATCH($M69,Profiles!$A$2:$A$100,0)))</f>
        <v/>
      </c>
      <c r="O69" s="20" t="str">
        <f aca="false">IF($A69="","",INDEX(Profiles!$E$2:$E$100,MATCH($M69,Profiles!$A$2:$A$100,0)))</f>
        <v/>
      </c>
      <c r="P69" s="21" t="str">
        <f aca="false">IF($L69&lt;&gt;"Planned","",$K69*$D69*$N69*(1+$O69))</f>
        <v/>
      </c>
      <c r="Q69" s="21" t="str">
        <f aca="false">IF($L69&lt;&gt;"Planned","",$K69*$D69)</f>
        <v/>
      </c>
      <c r="R69" s="21" t="str">
        <f aca="false">IF($L69&lt;&gt;"Planned","",MAX(N($E69),$K69*$D69*$N69,$K69*N($G69)))</f>
        <v/>
      </c>
      <c r="S69" s="21" t="str">
        <f aca="false">IF($L69&lt;&gt;"Planned","",$P69)</f>
        <v/>
      </c>
      <c r="T69" s="21" t="str">
        <f aca="false">IF($L69&lt;&gt;"Planned","",$P69+$Q69)</f>
        <v/>
      </c>
      <c r="U69" s="21" t="str">
        <f aca="false">IF($L69&lt;&gt;"Planned","",$T69+$R69)</f>
        <v/>
      </c>
      <c r="V69" s="8" t="str">
        <f aca="false">IF($A69="","",SUMIFS('Open supply'!$C:$C,'Open supply'!$A:$A,$AF69))</f>
        <v/>
      </c>
      <c r="W69" s="8" t="str">
        <f aca="false">IF($A69="","",SUMIFS('Open supply'!$C:$C,'Open supply'!$A:$A,$AF69,'Open supply'!$B:$B,"&lt;"&amp;PlanDate))</f>
        <v/>
      </c>
      <c r="X69" s="8" t="str">
        <f aca="false">IF($A69="","",SUMIFS('Open demand'!$G:$G,'Open demand'!$A:$A,$AF69))</f>
        <v/>
      </c>
      <c r="Y69" s="8" t="str">
        <f aca="false">IF($L69&lt;&gt;"Planned","",N($H69)+$V69-$X69)</f>
        <v/>
      </c>
      <c r="Z69" s="19" t="str">
        <f aca="false">IF($L69&lt;&gt;"Planned","",IF($Y69&lt;=$S69,"Red",IF($Y69&lt;=$T69,"Yellow",IF($Y69&lt;=$U69,"Green","Above green"))))</f>
        <v/>
      </c>
      <c r="AA69" s="22" t="str">
        <f aca="false">IF(OR($L69&lt;&gt;"Planned",N($U69)&lt;=0),"",$Y69/$U69)</f>
        <v/>
      </c>
      <c r="AB69" s="8" t="str">
        <f aca="false">IF($L69&lt;&gt;"Planned","",IF($Y69&lt;=$T69,ROUNDUP(MAX($U69-$Y69,N($E69))/IF(N($F69)&gt;0,$F69,1)-0.000000001,0)*IF(N($F69)&gt;0,$F69,1),""))</f>
        <v/>
      </c>
      <c r="AC69" s="23" t="str">
        <f aca="false">IF(N($AB69)&gt;0,PlanDate+ROUNDUP($D69,0),"")</f>
        <v/>
      </c>
      <c r="AD69" s="19" t="str">
        <f aca="false">IF($L69&lt;&gt;"Planned","",IF(N($H69)&lt;=0,"Stockout",IF(N($H69)&lt;$S69*0.5,"Critical",IF(N($H69)&lt;=$S69,"Low",IF(N($H69)&gt;$U69,"Over top of green","OK")))))</f>
        <v/>
      </c>
      <c r="AE69" s="8" t="str">
        <f aca="false">IF($A69="","",$A69&amp;"")</f>
        <v/>
      </c>
      <c r="AF69" s="8" t="str">
        <f aca="false">IF($A69="","",SUBSTITUTE(SUBSTITUTE(SUBSTITUTE($A69&amp;"","~","~~"),"*","~*"),"?","~?"))</f>
        <v/>
      </c>
    </row>
    <row r="70" customFormat="false" ht="15" hidden="false" customHeight="false" outlineLevel="0" collapsed="false">
      <c r="A70" s="11"/>
      <c r="B70" s="11"/>
      <c r="C70" s="11"/>
      <c r="D70" s="16"/>
      <c r="E70" s="11"/>
      <c r="F70" s="11"/>
      <c r="G70" s="9"/>
      <c r="H70" s="11"/>
      <c r="I70" s="17"/>
      <c r="J70" s="18" t="str">
        <f aca="false">IF($A70="","",IF(COUNT(Usage!$C:$C)=0,"",MAX(0,SUMIFS(Usage!$C:$C,Usage!$A:$A,$AF70,Usage!$B:$B,"&gt;="&amp;(PlanDate-AduWindow),Usage!$B:$B,"&lt;"&amp;PlanDate))/AduWindow))</f>
        <v/>
      </c>
      <c r="K70" s="18" t="str">
        <f aca="false">IF($A70="","",IF(AND(ISNUMBER($I70),N($I70)&gt;=0),$I70,$J70))</f>
        <v/>
      </c>
      <c r="L70" s="19" t="str">
        <f aca="false">IF($A70="","",IF($K70="","Needs ADU",IF($K70&lt;=0,"No recent demand",IF(N($D70)&lt;=0,"Needs lead time","Planned"))))</f>
        <v/>
      </c>
      <c r="M70" s="8" t="str">
        <f aca="false">IF($A70="","",IF(ISNUMBER(MATCH($C70,Profiles!$A$2:$A$100,0)),$C70,DefaultProfile))</f>
        <v/>
      </c>
      <c r="N70" s="20" t="str">
        <f aca="false">IF($A70="","",INDEX(Profiles!$D$2:$D$100,MATCH($M70,Profiles!$A$2:$A$100,0)))</f>
        <v/>
      </c>
      <c r="O70" s="20" t="str">
        <f aca="false">IF($A70="","",INDEX(Profiles!$E$2:$E$100,MATCH($M70,Profiles!$A$2:$A$100,0)))</f>
        <v/>
      </c>
      <c r="P70" s="21" t="str">
        <f aca="false">IF($L70&lt;&gt;"Planned","",$K70*$D70*$N70*(1+$O70))</f>
        <v/>
      </c>
      <c r="Q70" s="21" t="str">
        <f aca="false">IF($L70&lt;&gt;"Planned","",$K70*$D70)</f>
        <v/>
      </c>
      <c r="R70" s="21" t="str">
        <f aca="false">IF($L70&lt;&gt;"Planned","",MAX(N($E70),$K70*$D70*$N70,$K70*N($G70)))</f>
        <v/>
      </c>
      <c r="S70" s="21" t="str">
        <f aca="false">IF($L70&lt;&gt;"Planned","",$P70)</f>
        <v/>
      </c>
      <c r="T70" s="21" t="str">
        <f aca="false">IF($L70&lt;&gt;"Planned","",$P70+$Q70)</f>
        <v/>
      </c>
      <c r="U70" s="21" t="str">
        <f aca="false">IF($L70&lt;&gt;"Planned","",$T70+$R70)</f>
        <v/>
      </c>
      <c r="V70" s="8" t="str">
        <f aca="false">IF($A70="","",SUMIFS('Open supply'!$C:$C,'Open supply'!$A:$A,$AF70))</f>
        <v/>
      </c>
      <c r="W70" s="8" t="str">
        <f aca="false">IF($A70="","",SUMIFS('Open supply'!$C:$C,'Open supply'!$A:$A,$AF70,'Open supply'!$B:$B,"&lt;"&amp;PlanDate))</f>
        <v/>
      </c>
      <c r="X70" s="8" t="str">
        <f aca="false">IF($A70="","",SUMIFS('Open demand'!$G:$G,'Open demand'!$A:$A,$AF70))</f>
        <v/>
      </c>
      <c r="Y70" s="8" t="str">
        <f aca="false">IF($L70&lt;&gt;"Planned","",N($H70)+$V70-$X70)</f>
        <v/>
      </c>
      <c r="Z70" s="19" t="str">
        <f aca="false">IF($L70&lt;&gt;"Planned","",IF($Y70&lt;=$S70,"Red",IF($Y70&lt;=$T70,"Yellow",IF($Y70&lt;=$U70,"Green","Above green"))))</f>
        <v/>
      </c>
      <c r="AA70" s="22" t="str">
        <f aca="false">IF(OR($L70&lt;&gt;"Planned",N($U70)&lt;=0),"",$Y70/$U70)</f>
        <v/>
      </c>
      <c r="AB70" s="8" t="str">
        <f aca="false">IF($L70&lt;&gt;"Planned","",IF($Y70&lt;=$T70,ROUNDUP(MAX($U70-$Y70,N($E70))/IF(N($F70)&gt;0,$F70,1)-0.000000001,0)*IF(N($F70)&gt;0,$F70,1),""))</f>
        <v/>
      </c>
      <c r="AC70" s="23" t="str">
        <f aca="false">IF(N($AB70)&gt;0,PlanDate+ROUNDUP($D70,0),"")</f>
        <v/>
      </c>
      <c r="AD70" s="19" t="str">
        <f aca="false">IF($L70&lt;&gt;"Planned","",IF(N($H70)&lt;=0,"Stockout",IF(N($H70)&lt;$S70*0.5,"Critical",IF(N($H70)&lt;=$S70,"Low",IF(N($H70)&gt;$U70,"Over top of green","OK")))))</f>
        <v/>
      </c>
      <c r="AE70" s="8" t="str">
        <f aca="false">IF($A70="","",$A70&amp;"")</f>
        <v/>
      </c>
      <c r="AF70" s="8" t="str">
        <f aca="false">IF($A70="","",SUBSTITUTE(SUBSTITUTE(SUBSTITUTE($A70&amp;"","~","~~"),"*","~*"),"?","~?"))</f>
        <v/>
      </c>
    </row>
    <row r="71" customFormat="false" ht="15" hidden="false" customHeight="false" outlineLevel="0" collapsed="false">
      <c r="A71" s="11"/>
      <c r="B71" s="11"/>
      <c r="C71" s="11"/>
      <c r="D71" s="16"/>
      <c r="E71" s="11"/>
      <c r="F71" s="11"/>
      <c r="G71" s="9"/>
      <c r="H71" s="11"/>
      <c r="I71" s="17"/>
      <c r="J71" s="18" t="str">
        <f aca="false">IF($A71="","",IF(COUNT(Usage!$C:$C)=0,"",MAX(0,SUMIFS(Usage!$C:$C,Usage!$A:$A,$AF71,Usage!$B:$B,"&gt;="&amp;(PlanDate-AduWindow),Usage!$B:$B,"&lt;"&amp;PlanDate))/AduWindow))</f>
        <v/>
      </c>
      <c r="K71" s="18" t="str">
        <f aca="false">IF($A71="","",IF(AND(ISNUMBER($I71),N($I71)&gt;=0),$I71,$J71))</f>
        <v/>
      </c>
      <c r="L71" s="19" t="str">
        <f aca="false">IF($A71="","",IF($K71="","Needs ADU",IF($K71&lt;=0,"No recent demand",IF(N($D71)&lt;=0,"Needs lead time","Planned"))))</f>
        <v/>
      </c>
      <c r="M71" s="8" t="str">
        <f aca="false">IF($A71="","",IF(ISNUMBER(MATCH($C71,Profiles!$A$2:$A$100,0)),$C71,DefaultProfile))</f>
        <v/>
      </c>
      <c r="N71" s="20" t="str">
        <f aca="false">IF($A71="","",INDEX(Profiles!$D$2:$D$100,MATCH($M71,Profiles!$A$2:$A$100,0)))</f>
        <v/>
      </c>
      <c r="O71" s="20" t="str">
        <f aca="false">IF($A71="","",INDEX(Profiles!$E$2:$E$100,MATCH($M71,Profiles!$A$2:$A$100,0)))</f>
        <v/>
      </c>
      <c r="P71" s="21" t="str">
        <f aca="false">IF($L71&lt;&gt;"Planned","",$K71*$D71*$N71*(1+$O71))</f>
        <v/>
      </c>
      <c r="Q71" s="21" t="str">
        <f aca="false">IF($L71&lt;&gt;"Planned","",$K71*$D71)</f>
        <v/>
      </c>
      <c r="R71" s="21" t="str">
        <f aca="false">IF($L71&lt;&gt;"Planned","",MAX(N($E71),$K71*$D71*$N71,$K71*N($G71)))</f>
        <v/>
      </c>
      <c r="S71" s="21" t="str">
        <f aca="false">IF($L71&lt;&gt;"Planned","",$P71)</f>
        <v/>
      </c>
      <c r="T71" s="21" t="str">
        <f aca="false">IF($L71&lt;&gt;"Planned","",$P71+$Q71)</f>
        <v/>
      </c>
      <c r="U71" s="21" t="str">
        <f aca="false">IF($L71&lt;&gt;"Planned","",$T71+$R71)</f>
        <v/>
      </c>
      <c r="V71" s="8" t="str">
        <f aca="false">IF($A71="","",SUMIFS('Open supply'!$C:$C,'Open supply'!$A:$A,$AF71))</f>
        <v/>
      </c>
      <c r="W71" s="8" t="str">
        <f aca="false">IF($A71="","",SUMIFS('Open supply'!$C:$C,'Open supply'!$A:$A,$AF71,'Open supply'!$B:$B,"&lt;"&amp;PlanDate))</f>
        <v/>
      </c>
      <c r="X71" s="8" t="str">
        <f aca="false">IF($A71="","",SUMIFS('Open demand'!$G:$G,'Open demand'!$A:$A,$AF71))</f>
        <v/>
      </c>
      <c r="Y71" s="8" t="str">
        <f aca="false">IF($L71&lt;&gt;"Planned","",N($H71)+$V71-$X71)</f>
        <v/>
      </c>
      <c r="Z71" s="19" t="str">
        <f aca="false">IF($L71&lt;&gt;"Planned","",IF($Y71&lt;=$S71,"Red",IF($Y71&lt;=$T71,"Yellow",IF($Y71&lt;=$U71,"Green","Above green"))))</f>
        <v/>
      </c>
      <c r="AA71" s="22" t="str">
        <f aca="false">IF(OR($L71&lt;&gt;"Planned",N($U71)&lt;=0),"",$Y71/$U71)</f>
        <v/>
      </c>
      <c r="AB71" s="8" t="str">
        <f aca="false">IF($L71&lt;&gt;"Planned","",IF($Y71&lt;=$T71,ROUNDUP(MAX($U71-$Y71,N($E71))/IF(N($F71)&gt;0,$F71,1)-0.000000001,0)*IF(N($F71)&gt;0,$F71,1),""))</f>
        <v/>
      </c>
      <c r="AC71" s="23" t="str">
        <f aca="false">IF(N($AB71)&gt;0,PlanDate+ROUNDUP($D71,0),"")</f>
        <v/>
      </c>
      <c r="AD71" s="19" t="str">
        <f aca="false">IF($L71&lt;&gt;"Planned","",IF(N($H71)&lt;=0,"Stockout",IF(N($H71)&lt;$S71*0.5,"Critical",IF(N($H71)&lt;=$S71,"Low",IF(N($H71)&gt;$U71,"Over top of green","OK")))))</f>
        <v/>
      </c>
      <c r="AE71" s="8" t="str">
        <f aca="false">IF($A71="","",$A71&amp;"")</f>
        <v/>
      </c>
      <c r="AF71" s="8" t="str">
        <f aca="false">IF($A71="","",SUBSTITUTE(SUBSTITUTE(SUBSTITUTE($A71&amp;"","~","~~"),"*","~*"),"?","~?"))</f>
        <v/>
      </c>
    </row>
    <row r="72" customFormat="false" ht="15" hidden="false" customHeight="false" outlineLevel="0" collapsed="false">
      <c r="A72" s="11"/>
      <c r="B72" s="11"/>
      <c r="C72" s="11"/>
      <c r="D72" s="16"/>
      <c r="E72" s="11"/>
      <c r="F72" s="11"/>
      <c r="G72" s="9"/>
      <c r="H72" s="11"/>
      <c r="I72" s="17"/>
      <c r="J72" s="18" t="str">
        <f aca="false">IF($A72="","",IF(COUNT(Usage!$C:$C)=0,"",MAX(0,SUMIFS(Usage!$C:$C,Usage!$A:$A,$AF72,Usage!$B:$B,"&gt;="&amp;(PlanDate-AduWindow),Usage!$B:$B,"&lt;"&amp;PlanDate))/AduWindow))</f>
        <v/>
      </c>
      <c r="K72" s="18" t="str">
        <f aca="false">IF($A72="","",IF(AND(ISNUMBER($I72),N($I72)&gt;=0),$I72,$J72))</f>
        <v/>
      </c>
      <c r="L72" s="19" t="str">
        <f aca="false">IF($A72="","",IF($K72="","Needs ADU",IF($K72&lt;=0,"No recent demand",IF(N($D72)&lt;=0,"Needs lead time","Planned"))))</f>
        <v/>
      </c>
      <c r="M72" s="8" t="str">
        <f aca="false">IF($A72="","",IF(ISNUMBER(MATCH($C72,Profiles!$A$2:$A$100,0)),$C72,DefaultProfile))</f>
        <v/>
      </c>
      <c r="N72" s="20" t="str">
        <f aca="false">IF($A72="","",INDEX(Profiles!$D$2:$D$100,MATCH($M72,Profiles!$A$2:$A$100,0)))</f>
        <v/>
      </c>
      <c r="O72" s="20" t="str">
        <f aca="false">IF($A72="","",INDEX(Profiles!$E$2:$E$100,MATCH($M72,Profiles!$A$2:$A$100,0)))</f>
        <v/>
      </c>
      <c r="P72" s="21" t="str">
        <f aca="false">IF($L72&lt;&gt;"Planned","",$K72*$D72*$N72*(1+$O72))</f>
        <v/>
      </c>
      <c r="Q72" s="21" t="str">
        <f aca="false">IF($L72&lt;&gt;"Planned","",$K72*$D72)</f>
        <v/>
      </c>
      <c r="R72" s="21" t="str">
        <f aca="false">IF($L72&lt;&gt;"Planned","",MAX(N($E72),$K72*$D72*$N72,$K72*N($G72)))</f>
        <v/>
      </c>
      <c r="S72" s="21" t="str">
        <f aca="false">IF($L72&lt;&gt;"Planned","",$P72)</f>
        <v/>
      </c>
      <c r="T72" s="21" t="str">
        <f aca="false">IF($L72&lt;&gt;"Planned","",$P72+$Q72)</f>
        <v/>
      </c>
      <c r="U72" s="21" t="str">
        <f aca="false">IF($L72&lt;&gt;"Planned","",$T72+$R72)</f>
        <v/>
      </c>
      <c r="V72" s="8" t="str">
        <f aca="false">IF($A72="","",SUMIFS('Open supply'!$C:$C,'Open supply'!$A:$A,$AF72))</f>
        <v/>
      </c>
      <c r="W72" s="8" t="str">
        <f aca="false">IF($A72="","",SUMIFS('Open supply'!$C:$C,'Open supply'!$A:$A,$AF72,'Open supply'!$B:$B,"&lt;"&amp;PlanDate))</f>
        <v/>
      </c>
      <c r="X72" s="8" t="str">
        <f aca="false">IF($A72="","",SUMIFS('Open demand'!$G:$G,'Open demand'!$A:$A,$AF72))</f>
        <v/>
      </c>
      <c r="Y72" s="8" t="str">
        <f aca="false">IF($L72&lt;&gt;"Planned","",N($H72)+$V72-$X72)</f>
        <v/>
      </c>
      <c r="Z72" s="19" t="str">
        <f aca="false">IF($L72&lt;&gt;"Planned","",IF($Y72&lt;=$S72,"Red",IF($Y72&lt;=$T72,"Yellow",IF($Y72&lt;=$U72,"Green","Above green"))))</f>
        <v/>
      </c>
      <c r="AA72" s="22" t="str">
        <f aca="false">IF(OR($L72&lt;&gt;"Planned",N($U72)&lt;=0),"",$Y72/$U72)</f>
        <v/>
      </c>
      <c r="AB72" s="8" t="str">
        <f aca="false">IF($L72&lt;&gt;"Planned","",IF($Y72&lt;=$T72,ROUNDUP(MAX($U72-$Y72,N($E72))/IF(N($F72)&gt;0,$F72,1)-0.000000001,0)*IF(N($F72)&gt;0,$F72,1),""))</f>
        <v/>
      </c>
      <c r="AC72" s="23" t="str">
        <f aca="false">IF(N($AB72)&gt;0,PlanDate+ROUNDUP($D72,0),"")</f>
        <v/>
      </c>
      <c r="AD72" s="19" t="str">
        <f aca="false">IF($L72&lt;&gt;"Planned","",IF(N($H72)&lt;=0,"Stockout",IF(N($H72)&lt;$S72*0.5,"Critical",IF(N($H72)&lt;=$S72,"Low",IF(N($H72)&gt;$U72,"Over top of green","OK")))))</f>
        <v/>
      </c>
      <c r="AE72" s="8" t="str">
        <f aca="false">IF($A72="","",$A72&amp;"")</f>
        <v/>
      </c>
      <c r="AF72" s="8" t="str">
        <f aca="false">IF($A72="","",SUBSTITUTE(SUBSTITUTE(SUBSTITUTE($A72&amp;"","~","~~"),"*","~*"),"?","~?"))</f>
        <v/>
      </c>
    </row>
    <row r="73" customFormat="false" ht="15" hidden="false" customHeight="false" outlineLevel="0" collapsed="false">
      <c r="A73" s="11"/>
      <c r="B73" s="11"/>
      <c r="C73" s="11"/>
      <c r="D73" s="16"/>
      <c r="E73" s="11"/>
      <c r="F73" s="11"/>
      <c r="G73" s="9"/>
      <c r="H73" s="11"/>
      <c r="I73" s="17"/>
      <c r="J73" s="18" t="str">
        <f aca="false">IF($A73="","",IF(COUNT(Usage!$C:$C)=0,"",MAX(0,SUMIFS(Usage!$C:$C,Usage!$A:$A,$AF73,Usage!$B:$B,"&gt;="&amp;(PlanDate-AduWindow),Usage!$B:$B,"&lt;"&amp;PlanDate))/AduWindow))</f>
        <v/>
      </c>
      <c r="K73" s="18" t="str">
        <f aca="false">IF($A73="","",IF(AND(ISNUMBER($I73),N($I73)&gt;=0),$I73,$J73))</f>
        <v/>
      </c>
      <c r="L73" s="19" t="str">
        <f aca="false">IF($A73="","",IF($K73="","Needs ADU",IF($K73&lt;=0,"No recent demand",IF(N($D73)&lt;=0,"Needs lead time","Planned"))))</f>
        <v/>
      </c>
      <c r="M73" s="8" t="str">
        <f aca="false">IF($A73="","",IF(ISNUMBER(MATCH($C73,Profiles!$A$2:$A$100,0)),$C73,DefaultProfile))</f>
        <v/>
      </c>
      <c r="N73" s="20" t="str">
        <f aca="false">IF($A73="","",INDEX(Profiles!$D$2:$D$100,MATCH($M73,Profiles!$A$2:$A$100,0)))</f>
        <v/>
      </c>
      <c r="O73" s="20" t="str">
        <f aca="false">IF($A73="","",INDEX(Profiles!$E$2:$E$100,MATCH($M73,Profiles!$A$2:$A$100,0)))</f>
        <v/>
      </c>
      <c r="P73" s="21" t="str">
        <f aca="false">IF($L73&lt;&gt;"Planned","",$K73*$D73*$N73*(1+$O73))</f>
        <v/>
      </c>
      <c r="Q73" s="21" t="str">
        <f aca="false">IF($L73&lt;&gt;"Planned","",$K73*$D73)</f>
        <v/>
      </c>
      <c r="R73" s="21" t="str">
        <f aca="false">IF($L73&lt;&gt;"Planned","",MAX(N($E73),$K73*$D73*$N73,$K73*N($G73)))</f>
        <v/>
      </c>
      <c r="S73" s="21" t="str">
        <f aca="false">IF($L73&lt;&gt;"Planned","",$P73)</f>
        <v/>
      </c>
      <c r="T73" s="21" t="str">
        <f aca="false">IF($L73&lt;&gt;"Planned","",$P73+$Q73)</f>
        <v/>
      </c>
      <c r="U73" s="21" t="str">
        <f aca="false">IF($L73&lt;&gt;"Planned","",$T73+$R73)</f>
        <v/>
      </c>
      <c r="V73" s="8" t="str">
        <f aca="false">IF($A73="","",SUMIFS('Open supply'!$C:$C,'Open supply'!$A:$A,$AF73))</f>
        <v/>
      </c>
      <c r="W73" s="8" t="str">
        <f aca="false">IF($A73="","",SUMIFS('Open supply'!$C:$C,'Open supply'!$A:$A,$AF73,'Open supply'!$B:$B,"&lt;"&amp;PlanDate))</f>
        <v/>
      </c>
      <c r="X73" s="8" t="str">
        <f aca="false">IF($A73="","",SUMIFS('Open demand'!$G:$G,'Open demand'!$A:$A,$AF73))</f>
        <v/>
      </c>
      <c r="Y73" s="8" t="str">
        <f aca="false">IF($L73&lt;&gt;"Planned","",N($H73)+$V73-$X73)</f>
        <v/>
      </c>
      <c r="Z73" s="19" t="str">
        <f aca="false">IF($L73&lt;&gt;"Planned","",IF($Y73&lt;=$S73,"Red",IF($Y73&lt;=$T73,"Yellow",IF($Y73&lt;=$U73,"Green","Above green"))))</f>
        <v/>
      </c>
      <c r="AA73" s="22" t="str">
        <f aca="false">IF(OR($L73&lt;&gt;"Planned",N($U73)&lt;=0),"",$Y73/$U73)</f>
        <v/>
      </c>
      <c r="AB73" s="8" t="str">
        <f aca="false">IF($L73&lt;&gt;"Planned","",IF($Y73&lt;=$T73,ROUNDUP(MAX($U73-$Y73,N($E73))/IF(N($F73)&gt;0,$F73,1)-0.000000001,0)*IF(N($F73)&gt;0,$F73,1),""))</f>
        <v/>
      </c>
      <c r="AC73" s="23" t="str">
        <f aca="false">IF(N($AB73)&gt;0,PlanDate+ROUNDUP($D73,0),"")</f>
        <v/>
      </c>
      <c r="AD73" s="19" t="str">
        <f aca="false">IF($L73&lt;&gt;"Planned","",IF(N($H73)&lt;=0,"Stockout",IF(N($H73)&lt;$S73*0.5,"Critical",IF(N($H73)&lt;=$S73,"Low",IF(N($H73)&gt;$U73,"Over top of green","OK")))))</f>
        <v/>
      </c>
      <c r="AE73" s="8" t="str">
        <f aca="false">IF($A73="","",$A73&amp;"")</f>
        <v/>
      </c>
      <c r="AF73" s="8" t="str">
        <f aca="false">IF($A73="","",SUBSTITUTE(SUBSTITUTE(SUBSTITUTE($A73&amp;"","~","~~"),"*","~*"),"?","~?"))</f>
        <v/>
      </c>
    </row>
    <row r="74" customFormat="false" ht="15" hidden="false" customHeight="false" outlineLevel="0" collapsed="false">
      <c r="A74" s="11"/>
      <c r="B74" s="11"/>
      <c r="C74" s="11"/>
      <c r="D74" s="16"/>
      <c r="E74" s="11"/>
      <c r="F74" s="11"/>
      <c r="G74" s="9"/>
      <c r="H74" s="11"/>
      <c r="I74" s="17"/>
      <c r="J74" s="18" t="str">
        <f aca="false">IF($A74="","",IF(COUNT(Usage!$C:$C)=0,"",MAX(0,SUMIFS(Usage!$C:$C,Usage!$A:$A,$AF74,Usage!$B:$B,"&gt;="&amp;(PlanDate-AduWindow),Usage!$B:$B,"&lt;"&amp;PlanDate))/AduWindow))</f>
        <v/>
      </c>
      <c r="K74" s="18" t="str">
        <f aca="false">IF($A74="","",IF(AND(ISNUMBER($I74),N($I74)&gt;=0),$I74,$J74))</f>
        <v/>
      </c>
      <c r="L74" s="19" t="str">
        <f aca="false">IF($A74="","",IF($K74="","Needs ADU",IF($K74&lt;=0,"No recent demand",IF(N($D74)&lt;=0,"Needs lead time","Planned"))))</f>
        <v/>
      </c>
      <c r="M74" s="8" t="str">
        <f aca="false">IF($A74="","",IF(ISNUMBER(MATCH($C74,Profiles!$A$2:$A$100,0)),$C74,DefaultProfile))</f>
        <v/>
      </c>
      <c r="N74" s="20" t="str">
        <f aca="false">IF($A74="","",INDEX(Profiles!$D$2:$D$100,MATCH($M74,Profiles!$A$2:$A$100,0)))</f>
        <v/>
      </c>
      <c r="O74" s="20" t="str">
        <f aca="false">IF($A74="","",INDEX(Profiles!$E$2:$E$100,MATCH($M74,Profiles!$A$2:$A$100,0)))</f>
        <v/>
      </c>
      <c r="P74" s="21" t="str">
        <f aca="false">IF($L74&lt;&gt;"Planned","",$K74*$D74*$N74*(1+$O74))</f>
        <v/>
      </c>
      <c r="Q74" s="21" t="str">
        <f aca="false">IF($L74&lt;&gt;"Planned","",$K74*$D74)</f>
        <v/>
      </c>
      <c r="R74" s="21" t="str">
        <f aca="false">IF($L74&lt;&gt;"Planned","",MAX(N($E74),$K74*$D74*$N74,$K74*N($G74)))</f>
        <v/>
      </c>
      <c r="S74" s="21" t="str">
        <f aca="false">IF($L74&lt;&gt;"Planned","",$P74)</f>
        <v/>
      </c>
      <c r="T74" s="21" t="str">
        <f aca="false">IF($L74&lt;&gt;"Planned","",$P74+$Q74)</f>
        <v/>
      </c>
      <c r="U74" s="21" t="str">
        <f aca="false">IF($L74&lt;&gt;"Planned","",$T74+$R74)</f>
        <v/>
      </c>
      <c r="V74" s="8" t="str">
        <f aca="false">IF($A74="","",SUMIFS('Open supply'!$C:$C,'Open supply'!$A:$A,$AF74))</f>
        <v/>
      </c>
      <c r="W74" s="8" t="str">
        <f aca="false">IF($A74="","",SUMIFS('Open supply'!$C:$C,'Open supply'!$A:$A,$AF74,'Open supply'!$B:$B,"&lt;"&amp;PlanDate))</f>
        <v/>
      </c>
      <c r="X74" s="8" t="str">
        <f aca="false">IF($A74="","",SUMIFS('Open demand'!$G:$G,'Open demand'!$A:$A,$AF74))</f>
        <v/>
      </c>
      <c r="Y74" s="8" t="str">
        <f aca="false">IF($L74&lt;&gt;"Planned","",N($H74)+$V74-$X74)</f>
        <v/>
      </c>
      <c r="Z74" s="19" t="str">
        <f aca="false">IF($L74&lt;&gt;"Planned","",IF($Y74&lt;=$S74,"Red",IF($Y74&lt;=$T74,"Yellow",IF($Y74&lt;=$U74,"Green","Above green"))))</f>
        <v/>
      </c>
      <c r="AA74" s="22" t="str">
        <f aca="false">IF(OR($L74&lt;&gt;"Planned",N($U74)&lt;=0),"",$Y74/$U74)</f>
        <v/>
      </c>
      <c r="AB74" s="8" t="str">
        <f aca="false">IF($L74&lt;&gt;"Planned","",IF($Y74&lt;=$T74,ROUNDUP(MAX($U74-$Y74,N($E74))/IF(N($F74)&gt;0,$F74,1)-0.000000001,0)*IF(N($F74)&gt;0,$F74,1),""))</f>
        <v/>
      </c>
      <c r="AC74" s="23" t="str">
        <f aca="false">IF(N($AB74)&gt;0,PlanDate+ROUNDUP($D74,0),"")</f>
        <v/>
      </c>
      <c r="AD74" s="19" t="str">
        <f aca="false">IF($L74&lt;&gt;"Planned","",IF(N($H74)&lt;=0,"Stockout",IF(N($H74)&lt;$S74*0.5,"Critical",IF(N($H74)&lt;=$S74,"Low",IF(N($H74)&gt;$U74,"Over top of green","OK")))))</f>
        <v/>
      </c>
      <c r="AE74" s="8" t="str">
        <f aca="false">IF($A74="","",$A74&amp;"")</f>
        <v/>
      </c>
      <c r="AF74" s="8" t="str">
        <f aca="false">IF($A74="","",SUBSTITUTE(SUBSTITUTE(SUBSTITUTE($A74&amp;"","~","~~"),"*","~*"),"?","~?"))</f>
        <v/>
      </c>
    </row>
    <row r="75" customFormat="false" ht="15" hidden="false" customHeight="false" outlineLevel="0" collapsed="false">
      <c r="A75" s="11"/>
      <c r="B75" s="11"/>
      <c r="C75" s="11"/>
      <c r="D75" s="16"/>
      <c r="E75" s="11"/>
      <c r="F75" s="11"/>
      <c r="G75" s="9"/>
      <c r="H75" s="11"/>
      <c r="I75" s="17"/>
      <c r="J75" s="18" t="str">
        <f aca="false">IF($A75="","",IF(COUNT(Usage!$C:$C)=0,"",MAX(0,SUMIFS(Usage!$C:$C,Usage!$A:$A,$AF75,Usage!$B:$B,"&gt;="&amp;(PlanDate-AduWindow),Usage!$B:$B,"&lt;"&amp;PlanDate))/AduWindow))</f>
        <v/>
      </c>
      <c r="K75" s="18" t="str">
        <f aca="false">IF($A75="","",IF(AND(ISNUMBER($I75),N($I75)&gt;=0),$I75,$J75))</f>
        <v/>
      </c>
      <c r="L75" s="19" t="str">
        <f aca="false">IF($A75="","",IF($K75="","Needs ADU",IF($K75&lt;=0,"No recent demand",IF(N($D75)&lt;=0,"Needs lead time","Planned"))))</f>
        <v/>
      </c>
      <c r="M75" s="8" t="str">
        <f aca="false">IF($A75="","",IF(ISNUMBER(MATCH($C75,Profiles!$A$2:$A$100,0)),$C75,DefaultProfile))</f>
        <v/>
      </c>
      <c r="N75" s="20" t="str">
        <f aca="false">IF($A75="","",INDEX(Profiles!$D$2:$D$100,MATCH($M75,Profiles!$A$2:$A$100,0)))</f>
        <v/>
      </c>
      <c r="O75" s="20" t="str">
        <f aca="false">IF($A75="","",INDEX(Profiles!$E$2:$E$100,MATCH($M75,Profiles!$A$2:$A$100,0)))</f>
        <v/>
      </c>
      <c r="P75" s="21" t="str">
        <f aca="false">IF($L75&lt;&gt;"Planned","",$K75*$D75*$N75*(1+$O75))</f>
        <v/>
      </c>
      <c r="Q75" s="21" t="str">
        <f aca="false">IF($L75&lt;&gt;"Planned","",$K75*$D75)</f>
        <v/>
      </c>
      <c r="R75" s="21" t="str">
        <f aca="false">IF($L75&lt;&gt;"Planned","",MAX(N($E75),$K75*$D75*$N75,$K75*N($G75)))</f>
        <v/>
      </c>
      <c r="S75" s="21" t="str">
        <f aca="false">IF($L75&lt;&gt;"Planned","",$P75)</f>
        <v/>
      </c>
      <c r="T75" s="21" t="str">
        <f aca="false">IF($L75&lt;&gt;"Planned","",$P75+$Q75)</f>
        <v/>
      </c>
      <c r="U75" s="21" t="str">
        <f aca="false">IF($L75&lt;&gt;"Planned","",$T75+$R75)</f>
        <v/>
      </c>
      <c r="V75" s="8" t="str">
        <f aca="false">IF($A75="","",SUMIFS('Open supply'!$C:$C,'Open supply'!$A:$A,$AF75))</f>
        <v/>
      </c>
      <c r="W75" s="8" t="str">
        <f aca="false">IF($A75="","",SUMIFS('Open supply'!$C:$C,'Open supply'!$A:$A,$AF75,'Open supply'!$B:$B,"&lt;"&amp;PlanDate))</f>
        <v/>
      </c>
      <c r="X75" s="8" t="str">
        <f aca="false">IF($A75="","",SUMIFS('Open demand'!$G:$G,'Open demand'!$A:$A,$AF75))</f>
        <v/>
      </c>
      <c r="Y75" s="8" t="str">
        <f aca="false">IF($L75&lt;&gt;"Planned","",N($H75)+$V75-$X75)</f>
        <v/>
      </c>
      <c r="Z75" s="19" t="str">
        <f aca="false">IF($L75&lt;&gt;"Planned","",IF($Y75&lt;=$S75,"Red",IF($Y75&lt;=$T75,"Yellow",IF($Y75&lt;=$U75,"Green","Above green"))))</f>
        <v/>
      </c>
      <c r="AA75" s="22" t="str">
        <f aca="false">IF(OR($L75&lt;&gt;"Planned",N($U75)&lt;=0),"",$Y75/$U75)</f>
        <v/>
      </c>
      <c r="AB75" s="8" t="str">
        <f aca="false">IF($L75&lt;&gt;"Planned","",IF($Y75&lt;=$T75,ROUNDUP(MAX($U75-$Y75,N($E75))/IF(N($F75)&gt;0,$F75,1)-0.000000001,0)*IF(N($F75)&gt;0,$F75,1),""))</f>
        <v/>
      </c>
      <c r="AC75" s="23" t="str">
        <f aca="false">IF(N($AB75)&gt;0,PlanDate+ROUNDUP($D75,0),"")</f>
        <v/>
      </c>
      <c r="AD75" s="19" t="str">
        <f aca="false">IF($L75&lt;&gt;"Planned","",IF(N($H75)&lt;=0,"Stockout",IF(N($H75)&lt;$S75*0.5,"Critical",IF(N($H75)&lt;=$S75,"Low",IF(N($H75)&gt;$U75,"Over top of green","OK")))))</f>
        <v/>
      </c>
      <c r="AE75" s="8" t="str">
        <f aca="false">IF($A75="","",$A75&amp;"")</f>
        <v/>
      </c>
      <c r="AF75" s="8" t="str">
        <f aca="false">IF($A75="","",SUBSTITUTE(SUBSTITUTE(SUBSTITUTE($A75&amp;"","~","~~"),"*","~*"),"?","~?"))</f>
        <v/>
      </c>
    </row>
    <row r="76" customFormat="false" ht="15" hidden="false" customHeight="false" outlineLevel="0" collapsed="false">
      <c r="A76" s="11"/>
      <c r="B76" s="11"/>
      <c r="C76" s="11"/>
      <c r="D76" s="16"/>
      <c r="E76" s="11"/>
      <c r="F76" s="11"/>
      <c r="G76" s="9"/>
      <c r="H76" s="11"/>
      <c r="I76" s="17"/>
      <c r="J76" s="18" t="str">
        <f aca="false">IF($A76="","",IF(COUNT(Usage!$C:$C)=0,"",MAX(0,SUMIFS(Usage!$C:$C,Usage!$A:$A,$AF76,Usage!$B:$B,"&gt;="&amp;(PlanDate-AduWindow),Usage!$B:$B,"&lt;"&amp;PlanDate))/AduWindow))</f>
        <v/>
      </c>
      <c r="K76" s="18" t="str">
        <f aca="false">IF($A76="","",IF(AND(ISNUMBER($I76),N($I76)&gt;=0),$I76,$J76))</f>
        <v/>
      </c>
      <c r="L76" s="19" t="str">
        <f aca="false">IF($A76="","",IF($K76="","Needs ADU",IF($K76&lt;=0,"No recent demand",IF(N($D76)&lt;=0,"Needs lead time","Planned"))))</f>
        <v/>
      </c>
      <c r="M76" s="8" t="str">
        <f aca="false">IF($A76="","",IF(ISNUMBER(MATCH($C76,Profiles!$A$2:$A$100,0)),$C76,DefaultProfile))</f>
        <v/>
      </c>
      <c r="N76" s="20" t="str">
        <f aca="false">IF($A76="","",INDEX(Profiles!$D$2:$D$100,MATCH($M76,Profiles!$A$2:$A$100,0)))</f>
        <v/>
      </c>
      <c r="O76" s="20" t="str">
        <f aca="false">IF($A76="","",INDEX(Profiles!$E$2:$E$100,MATCH($M76,Profiles!$A$2:$A$100,0)))</f>
        <v/>
      </c>
      <c r="P76" s="21" t="str">
        <f aca="false">IF($L76&lt;&gt;"Planned","",$K76*$D76*$N76*(1+$O76))</f>
        <v/>
      </c>
      <c r="Q76" s="21" t="str">
        <f aca="false">IF($L76&lt;&gt;"Planned","",$K76*$D76)</f>
        <v/>
      </c>
      <c r="R76" s="21" t="str">
        <f aca="false">IF($L76&lt;&gt;"Planned","",MAX(N($E76),$K76*$D76*$N76,$K76*N($G76)))</f>
        <v/>
      </c>
      <c r="S76" s="21" t="str">
        <f aca="false">IF($L76&lt;&gt;"Planned","",$P76)</f>
        <v/>
      </c>
      <c r="T76" s="21" t="str">
        <f aca="false">IF($L76&lt;&gt;"Planned","",$P76+$Q76)</f>
        <v/>
      </c>
      <c r="U76" s="21" t="str">
        <f aca="false">IF($L76&lt;&gt;"Planned","",$T76+$R76)</f>
        <v/>
      </c>
      <c r="V76" s="8" t="str">
        <f aca="false">IF($A76="","",SUMIFS('Open supply'!$C:$C,'Open supply'!$A:$A,$AF76))</f>
        <v/>
      </c>
      <c r="W76" s="8" t="str">
        <f aca="false">IF($A76="","",SUMIFS('Open supply'!$C:$C,'Open supply'!$A:$A,$AF76,'Open supply'!$B:$B,"&lt;"&amp;PlanDate))</f>
        <v/>
      </c>
      <c r="X76" s="8" t="str">
        <f aca="false">IF($A76="","",SUMIFS('Open demand'!$G:$G,'Open demand'!$A:$A,$AF76))</f>
        <v/>
      </c>
      <c r="Y76" s="8" t="str">
        <f aca="false">IF($L76&lt;&gt;"Planned","",N($H76)+$V76-$X76)</f>
        <v/>
      </c>
      <c r="Z76" s="19" t="str">
        <f aca="false">IF($L76&lt;&gt;"Planned","",IF($Y76&lt;=$S76,"Red",IF($Y76&lt;=$T76,"Yellow",IF($Y76&lt;=$U76,"Green","Above green"))))</f>
        <v/>
      </c>
      <c r="AA76" s="22" t="str">
        <f aca="false">IF(OR($L76&lt;&gt;"Planned",N($U76)&lt;=0),"",$Y76/$U76)</f>
        <v/>
      </c>
      <c r="AB76" s="8" t="str">
        <f aca="false">IF($L76&lt;&gt;"Planned","",IF($Y76&lt;=$T76,ROUNDUP(MAX($U76-$Y76,N($E76))/IF(N($F76)&gt;0,$F76,1)-0.000000001,0)*IF(N($F76)&gt;0,$F76,1),""))</f>
        <v/>
      </c>
      <c r="AC76" s="23" t="str">
        <f aca="false">IF(N($AB76)&gt;0,PlanDate+ROUNDUP($D76,0),"")</f>
        <v/>
      </c>
      <c r="AD76" s="19" t="str">
        <f aca="false">IF($L76&lt;&gt;"Planned","",IF(N($H76)&lt;=0,"Stockout",IF(N($H76)&lt;$S76*0.5,"Critical",IF(N($H76)&lt;=$S76,"Low",IF(N($H76)&gt;$U76,"Over top of green","OK")))))</f>
        <v/>
      </c>
      <c r="AE76" s="8" t="str">
        <f aca="false">IF($A76="","",$A76&amp;"")</f>
        <v/>
      </c>
      <c r="AF76" s="8" t="str">
        <f aca="false">IF($A76="","",SUBSTITUTE(SUBSTITUTE(SUBSTITUTE($A76&amp;"","~","~~"),"*","~*"),"?","~?"))</f>
        <v/>
      </c>
    </row>
    <row r="77" customFormat="false" ht="15" hidden="false" customHeight="false" outlineLevel="0" collapsed="false">
      <c r="A77" s="11"/>
      <c r="B77" s="11"/>
      <c r="C77" s="11"/>
      <c r="D77" s="16"/>
      <c r="E77" s="11"/>
      <c r="F77" s="11"/>
      <c r="G77" s="9"/>
      <c r="H77" s="11"/>
      <c r="I77" s="17"/>
      <c r="J77" s="18" t="str">
        <f aca="false">IF($A77="","",IF(COUNT(Usage!$C:$C)=0,"",MAX(0,SUMIFS(Usage!$C:$C,Usage!$A:$A,$AF77,Usage!$B:$B,"&gt;="&amp;(PlanDate-AduWindow),Usage!$B:$B,"&lt;"&amp;PlanDate))/AduWindow))</f>
        <v/>
      </c>
      <c r="K77" s="18" t="str">
        <f aca="false">IF($A77="","",IF(AND(ISNUMBER($I77),N($I77)&gt;=0),$I77,$J77))</f>
        <v/>
      </c>
      <c r="L77" s="19" t="str">
        <f aca="false">IF($A77="","",IF($K77="","Needs ADU",IF($K77&lt;=0,"No recent demand",IF(N($D77)&lt;=0,"Needs lead time","Planned"))))</f>
        <v/>
      </c>
      <c r="M77" s="8" t="str">
        <f aca="false">IF($A77="","",IF(ISNUMBER(MATCH($C77,Profiles!$A$2:$A$100,0)),$C77,DefaultProfile))</f>
        <v/>
      </c>
      <c r="N77" s="20" t="str">
        <f aca="false">IF($A77="","",INDEX(Profiles!$D$2:$D$100,MATCH($M77,Profiles!$A$2:$A$100,0)))</f>
        <v/>
      </c>
      <c r="O77" s="20" t="str">
        <f aca="false">IF($A77="","",INDEX(Profiles!$E$2:$E$100,MATCH($M77,Profiles!$A$2:$A$100,0)))</f>
        <v/>
      </c>
      <c r="P77" s="21" t="str">
        <f aca="false">IF($L77&lt;&gt;"Planned","",$K77*$D77*$N77*(1+$O77))</f>
        <v/>
      </c>
      <c r="Q77" s="21" t="str">
        <f aca="false">IF($L77&lt;&gt;"Planned","",$K77*$D77)</f>
        <v/>
      </c>
      <c r="R77" s="21" t="str">
        <f aca="false">IF($L77&lt;&gt;"Planned","",MAX(N($E77),$K77*$D77*$N77,$K77*N($G77)))</f>
        <v/>
      </c>
      <c r="S77" s="21" t="str">
        <f aca="false">IF($L77&lt;&gt;"Planned","",$P77)</f>
        <v/>
      </c>
      <c r="T77" s="21" t="str">
        <f aca="false">IF($L77&lt;&gt;"Planned","",$P77+$Q77)</f>
        <v/>
      </c>
      <c r="U77" s="21" t="str">
        <f aca="false">IF($L77&lt;&gt;"Planned","",$T77+$R77)</f>
        <v/>
      </c>
      <c r="V77" s="8" t="str">
        <f aca="false">IF($A77="","",SUMIFS('Open supply'!$C:$C,'Open supply'!$A:$A,$AF77))</f>
        <v/>
      </c>
      <c r="W77" s="8" t="str">
        <f aca="false">IF($A77="","",SUMIFS('Open supply'!$C:$C,'Open supply'!$A:$A,$AF77,'Open supply'!$B:$B,"&lt;"&amp;PlanDate))</f>
        <v/>
      </c>
      <c r="X77" s="8" t="str">
        <f aca="false">IF($A77="","",SUMIFS('Open demand'!$G:$G,'Open demand'!$A:$A,$AF77))</f>
        <v/>
      </c>
      <c r="Y77" s="8" t="str">
        <f aca="false">IF($L77&lt;&gt;"Planned","",N($H77)+$V77-$X77)</f>
        <v/>
      </c>
      <c r="Z77" s="19" t="str">
        <f aca="false">IF($L77&lt;&gt;"Planned","",IF($Y77&lt;=$S77,"Red",IF($Y77&lt;=$T77,"Yellow",IF($Y77&lt;=$U77,"Green","Above green"))))</f>
        <v/>
      </c>
      <c r="AA77" s="22" t="str">
        <f aca="false">IF(OR($L77&lt;&gt;"Planned",N($U77)&lt;=0),"",$Y77/$U77)</f>
        <v/>
      </c>
      <c r="AB77" s="8" t="str">
        <f aca="false">IF($L77&lt;&gt;"Planned","",IF($Y77&lt;=$T77,ROUNDUP(MAX($U77-$Y77,N($E77))/IF(N($F77)&gt;0,$F77,1)-0.000000001,0)*IF(N($F77)&gt;0,$F77,1),""))</f>
        <v/>
      </c>
      <c r="AC77" s="23" t="str">
        <f aca="false">IF(N($AB77)&gt;0,PlanDate+ROUNDUP($D77,0),"")</f>
        <v/>
      </c>
      <c r="AD77" s="19" t="str">
        <f aca="false">IF($L77&lt;&gt;"Planned","",IF(N($H77)&lt;=0,"Stockout",IF(N($H77)&lt;$S77*0.5,"Critical",IF(N($H77)&lt;=$S77,"Low",IF(N($H77)&gt;$U77,"Over top of green","OK")))))</f>
        <v/>
      </c>
      <c r="AE77" s="8" t="str">
        <f aca="false">IF($A77="","",$A77&amp;"")</f>
        <v/>
      </c>
      <c r="AF77" s="8" t="str">
        <f aca="false">IF($A77="","",SUBSTITUTE(SUBSTITUTE(SUBSTITUTE($A77&amp;"","~","~~"),"*","~*"),"?","~?"))</f>
        <v/>
      </c>
    </row>
    <row r="78" customFormat="false" ht="15" hidden="false" customHeight="false" outlineLevel="0" collapsed="false">
      <c r="A78" s="11"/>
      <c r="B78" s="11"/>
      <c r="C78" s="11"/>
      <c r="D78" s="16"/>
      <c r="E78" s="11"/>
      <c r="F78" s="11"/>
      <c r="G78" s="9"/>
      <c r="H78" s="11"/>
      <c r="I78" s="17"/>
      <c r="J78" s="18" t="str">
        <f aca="false">IF($A78="","",IF(COUNT(Usage!$C:$C)=0,"",MAX(0,SUMIFS(Usage!$C:$C,Usage!$A:$A,$AF78,Usage!$B:$B,"&gt;="&amp;(PlanDate-AduWindow),Usage!$B:$B,"&lt;"&amp;PlanDate))/AduWindow))</f>
        <v/>
      </c>
      <c r="K78" s="18" t="str">
        <f aca="false">IF($A78="","",IF(AND(ISNUMBER($I78),N($I78)&gt;=0),$I78,$J78))</f>
        <v/>
      </c>
      <c r="L78" s="19" t="str">
        <f aca="false">IF($A78="","",IF($K78="","Needs ADU",IF($K78&lt;=0,"No recent demand",IF(N($D78)&lt;=0,"Needs lead time","Planned"))))</f>
        <v/>
      </c>
      <c r="M78" s="8" t="str">
        <f aca="false">IF($A78="","",IF(ISNUMBER(MATCH($C78,Profiles!$A$2:$A$100,0)),$C78,DefaultProfile))</f>
        <v/>
      </c>
      <c r="N78" s="20" t="str">
        <f aca="false">IF($A78="","",INDEX(Profiles!$D$2:$D$100,MATCH($M78,Profiles!$A$2:$A$100,0)))</f>
        <v/>
      </c>
      <c r="O78" s="20" t="str">
        <f aca="false">IF($A78="","",INDEX(Profiles!$E$2:$E$100,MATCH($M78,Profiles!$A$2:$A$100,0)))</f>
        <v/>
      </c>
      <c r="P78" s="21" t="str">
        <f aca="false">IF($L78&lt;&gt;"Planned","",$K78*$D78*$N78*(1+$O78))</f>
        <v/>
      </c>
      <c r="Q78" s="21" t="str">
        <f aca="false">IF($L78&lt;&gt;"Planned","",$K78*$D78)</f>
        <v/>
      </c>
      <c r="R78" s="21" t="str">
        <f aca="false">IF($L78&lt;&gt;"Planned","",MAX(N($E78),$K78*$D78*$N78,$K78*N($G78)))</f>
        <v/>
      </c>
      <c r="S78" s="21" t="str">
        <f aca="false">IF($L78&lt;&gt;"Planned","",$P78)</f>
        <v/>
      </c>
      <c r="T78" s="21" t="str">
        <f aca="false">IF($L78&lt;&gt;"Planned","",$P78+$Q78)</f>
        <v/>
      </c>
      <c r="U78" s="21" t="str">
        <f aca="false">IF($L78&lt;&gt;"Planned","",$T78+$R78)</f>
        <v/>
      </c>
      <c r="V78" s="8" t="str">
        <f aca="false">IF($A78="","",SUMIFS('Open supply'!$C:$C,'Open supply'!$A:$A,$AF78))</f>
        <v/>
      </c>
      <c r="W78" s="8" t="str">
        <f aca="false">IF($A78="","",SUMIFS('Open supply'!$C:$C,'Open supply'!$A:$A,$AF78,'Open supply'!$B:$B,"&lt;"&amp;PlanDate))</f>
        <v/>
      </c>
      <c r="X78" s="8" t="str">
        <f aca="false">IF($A78="","",SUMIFS('Open demand'!$G:$G,'Open demand'!$A:$A,$AF78))</f>
        <v/>
      </c>
      <c r="Y78" s="8" t="str">
        <f aca="false">IF($L78&lt;&gt;"Planned","",N($H78)+$V78-$X78)</f>
        <v/>
      </c>
      <c r="Z78" s="19" t="str">
        <f aca="false">IF($L78&lt;&gt;"Planned","",IF($Y78&lt;=$S78,"Red",IF($Y78&lt;=$T78,"Yellow",IF($Y78&lt;=$U78,"Green","Above green"))))</f>
        <v/>
      </c>
      <c r="AA78" s="22" t="str">
        <f aca="false">IF(OR($L78&lt;&gt;"Planned",N($U78)&lt;=0),"",$Y78/$U78)</f>
        <v/>
      </c>
      <c r="AB78" s="8" t="str">
        <f aca="false">IF($L78&lt;&gt;"Planned","",IF($Y78&lt;=$T78,ROUNDUP(MAX($U78-$Y78,N($E78))/IF(N($F78)&gt;0,$F78,1)-0.000000001,0)*IF(N($F78)&gt;0,$F78,1),""))</f>
        <v/>
      </c>
      <c r="AC78" s="23" t="str">
        <f aca="false">IF(N($AB78)&gt;0,PlanDate+ROUNDUP($D78,0),"")</f>
        <v/>
      </c>
      <c r="AD78" s="19" t="str">
        <f aca="false">IF($L78&lt;&gt;"Planned","",IF(N($H78)&lt;=0,"Stockout",IF(N($H78)&lt;$S78*0.5,"Critical",IF(N($H78)&lt;=$S78,"Low",IF(N($H78)&gt;$U78,"Over top of green","OK")))))</f>
        <v/>
      </c>
      <c r="AE78" s="8" t="str">
        <f aca="false">IF($A78="","",$A78&amp;"")</f>
        <v/>
      </c>
      <c r="AF78" s="8" t="str">
        <f aca="false">IF($A78="","",SUBSTITUTE(SUBSTITUTE(SUBSTITUTE($A78&amp;"","~","~~"),"*","~*"),"?","~?"))</f>
        <v/>
      </c>
    </row>
    <row r="79" customFormat="false" ht="15" hidden="false" customHeight="false" outlineLevel="0" collapsed="false">
      <c r="A79" s="11"/>
      <c r="B79" s="11"/>
      <c r="C79" s="11"/>
      <c r="D79" s="16"/>
      <c r="E79" s="11"/>
      <c r="F79" s="11"/>
      <c r="G79" s="9"/>
      <c r="H79" s="11"/>
      <c r="I79" s="17"/>
      <c r="J79" s="18" t="str">
        <f aca="false">IF($A79="","",IF(COUNT(Usage!$C:$C)=0,"",MAX(0,SUMIFS(Usage!$C:$C,Usage!$A:$A,$AF79,Usage!$B:$B,"&gt;="&amp;(PlanDate-AduWindow),Usage!$B:$B,"&lt;"&amp;PlanDate))/AduWindow))</f>
        <v/>
      </c>
      <c r="K79" s="18" t="str">
        <f aca="false">IF($A79="","",IF(AND(ISNUMBER($I79),N($I79)&gt;=0),$I79,$J79))</f>
        <v/>
      </c>
      <c r="L79" s="19" t="str">
        <f aca="false">IF($A79="","",IF($K79="","Needs ADU",IF($K79&lt;=0,"No recent demand",IF(N($D79)&lt;=0,"Needs lead time","Planned"))))</f>
        <v/>
      </c>
      <c r="M79" s="8" t="str">
        <f aca="false">IF($A79="","",IF(ISNUMBER(MATCH($C79,Profiles!$A$2:$A$100,0)),$C79,DefaultProfile))</f>
        <v/>
      </c>
      <c r="N79" s="20" t="str">
        <f aca="false">IF($A79="","",INDEX(Profiles!$D$2:$D$100,MATCH($M79,Profiles!$A$2:$A$100,0)))</f>
        <v/>
      </c>
      <c r="O79" s="20" t="str">
        <f aca="false">IF($A79="","",INDEX(Profiles!$E$2:$E$100,MATCH($M79,Profiles!$A$2:$A$100,0)))</f>
        <v/>
      </c>
      <c r="P79" s="21" t="str">
        <f aca="false">IF($L79&lt;&gt;"Planned","",$K79*$D79*$N79*(1+$O79))</f>
        <v/>
      </c>
      <c r="Q79" s="21" t="str">
        <f aca="false">IF($L79&lt;&gt;"Planned","",$K79*$D79)</f>
        <v/>
      </c>
      <c r="R79" s="21" t="str">
        <f aca="false">IF($L79&lt;&gt;"Planned","",MAX(N($E79),$K79*$D79*$N79,$K79*N($G79)))</f>
        <v/>
      </c>
      <c r="S79" s="21" t="str">
        <f aca="false">IF($L79&lt;&gt;"Planned","",$P79)</f>
        <v/>
      </c>
      <c r="T79" s="21" t="str">
        <f aca="false">IF($L79&lt;&gt;"Planned","",$P79+$Q79)</f>
        <v/>
      </c>
      <c r="U79" s="21" t="str">
        <f aca="false">IF($L79&lt;&gt;"Planned","",$T79+$R79)</f>
        <v/>
      </c>
      <c r="V79" s="8" t="str">
        <f aca="false">IF($A79="","",SUMIFS('Open supply'!$C:$C,'Open supply'!$A:$A,$AF79))</f>
        <v/>
      </c>
      <c r="W79" s="8" t="str">
        <f aca="false">IF($A79="","",SUMIFS('Open supply'!$C:$C,'Open supply'!$A:$A,$AF79,'Open supply'!$B:$B,"&lt;"&amp;PlanDate))</f>
        <v/>
      </c>
      <c r="X79" s="8" t="str">
        <f aca="false">IF($A79="","",SUMIFS('Open demand'!$G:$G,'Open demand'!$A:$A,$AF79))</f>
        <v/>
      </c>
      <c r="Y79" s="8" t="str">
        <f aca="false">IF($L79&lt;&gt;"Planned","",N($H79)+$V79-$X79)</f>
        <v/>
      </c>
      <c r="Z79" s="19" t="str">
        <f aca="false">IF($L79&lt;&gt;"Planned","",IF($Y79&lt;=$S79,"Red",IF($Y79&lt;=$T79,"Yellow",IF($Y79&lt;=$U79,"Green","Above green"))))</f>
        <v/>
      </c>
      <c r="AA79" s="22" t="str">
        <f aca="false">IF(OR($L79&lt;&gt;"Planned",N($U79)&lt;=0),"",$Y79/$U79)</f>
        <v/>
      </c>
      <c r="AB79" s="8" t="str">
        <f aca="false">IF($L79&lt;&gt;"Planned","",IF($Y79&lt;=$T79,ROUNDUP(MAX($U79-$Y79,N($E79))/IF(N($F79)&gt;0,$F79,1)-0.000000001,0)*IF(N($F79)&gt;0,$F79,1),""))</f>
        <v/>
      </c>
      <c r="AC79" s="23" t="str">
        <f aca="false">IF(N($AB79)&gt;0,PlanDate+ROUNDUP($D79,0),"")</f>
        <v/>
      </c>
      <c r="AD79" s="19" t="str">
        <f aca="false">IF($L79&lt;&gt;"Planned","",IF(N($H79)&lt;=0,"Stockout",IF(N($H79)&lt;$S79*0.5,"Critical",IF(N($H79)&lt;=$S79,"Low",IF(N($H79)&gt;$U79,"Over top of green","OK")))))</f>
        <v/>
      </c>
      <c r="AE79" s="8" t="str">
        <f aca="false">IF($A79="","",$A79&amp;"")</f>
        <v/>
      </c>
      <c r="AF79" s="8" t="str">
        <f aca="false">IF($A79="","",SUBSTITUTE(SUBSTITUTE(SUBSTITUTE($A79&amp;"","~","~~"),"*","~*"),"?","~?"))</f>
        <v/>
      </c>
    </row>
    <row r="80" customFormat="false" ht="15" hidden="false" customHeight="false" outlineLevel="0" collapsed="false">
      <c r="A80" s="11"/>
      <c r="B80" s="11"/>
      <c r="C80" s="11"/>
      <c r="D80" s="16"/>
      <c r="E80" s="11"/>
      <c r="F80" s="11"/>
      <c r="G80" s="9"/>
      <c r="H80" s="11"/>
      <c r="I80" s="17"/>
      <c r="J80" s="18" t="str">
        <f aca="false">IF($A80="","",IF(COUNT(Usage!$C:$C)=0,"",MAX(0,SUMIFS(Usage!$C:$C,Usage!$A:$A,$AF80,Usage!$B:$B,"&gt;="&amp;(PlanDate-AduWindow),Usage!$B:$B,"&lt;"&amp;PlanDate))/AduWindow))</f>
        <v/>
      </c>
      <c r="K80" s="18" t="str">
        <f aca="false">IF($A80="","",IF(AND(ISNUMBER($I80),N($I80)&gt;=0),$I80,$J80))</f>
        <v/>
      </c>
      <c r="L80" s="19" t="str">
        <f aca="false">IF($A80="","",IF($K80="","Needs ADU",IF($K80&lt;=0,"No recent demand",IF(N($D80)&lt;=0,"Needs lead time","Planned"))))</f>
        <v/>
      </c>
      <c r="M80" s="8" t="str">
        <f aca="false">IF($A80="","",IF(ISNUMBER(MATCH($C80,Profiles!$A$2:$A$100,0)),$C80,DefaultProfile))</f>
        <v/>
      </c>
      <c r="N80" s="20" t="str">
        <f aca="false">IF($A80="","",INDEX(Profiles!$D$2:$D$100,MATCH($M80,Profiles!$A$2:$A$100,0)))</f>
        <v/>
      </c>
      <c r="O80" s="20" t="str">
        <f aca="false">IF($A80="","",INDEX(Profiles!$E$2:$E$100,MATCH($M80,Profiles!$A$2:$A$100,0)))</f>
        <v/>
      </c>
      <c r="P80" s="21" t="str">
        <f aca="false">IF($L80&lt;&gt;"Planned","",$K80*$D80*$N80*(1+$O80))</f>
        <v/>
      </c>
      <c r="Q80" s="21" t="str">
        <f aca="false">IF($L80&lt;&gt;"Planned","",$K80*$D80)</f>
        <v/>
      </c>
      <c r="R80" s="21" t="str">
        <f aca="false">IF($L80&lt;&gt;"Planned","",MAX(N($E80),$K80*$D80*$N80,$K80*N($G80)))</f>
        <v/>
      </c>
      <c r="S80" s="21" t="str">
        <f aca="false">IF($L80&lt;&gt;"Planned","",$P80)</f>
        <v/>
      </c>
      <c r="T80" s="21" t="str">
        <f aca="false">IF($L80&lt;&gt;"Planned","",$P80+$Q80)</f>
        <v/>
      </c>
      <c r="U80" s="21" t="str">
        <f aca="false">IF($L80&lt;&gt;"Planned","",$T80+$R80)</f>
        <v/>
      </c>
      <c r="V80" s="8" t="str">
        <f aca="false">IF($A80="","",SUMIFS('Open supply'!$C:$C,'Open supply'!$A:$A,$AF80))</f>
        <v/>
      </c>
      <c r="W80" s="8" t="str">
        <f aca="false">IF($A80="","",SUMIFS('Open supply'!$C:$C,'Open supply'!$A:$A,$AF80,'Open supply'!$B:$B,"&lt;"&amp;PlanDate))</f>
        <v/>
      </c>
      <c r="X80" s="8" t="str">
        <f aca="false">IF($A80="","",SUMIFS('Open demand'!$G:$G,'Open demand'!$A:$A,$AF80))</f>
        <v/>
      </c>
      <c r="Y80" s="8" t="str">
        <f aca="false">IF($L80&lt;&gt;"Planned","",N($H80)+$V80-$X80)</f>
        <v/>
      </c>
      <c r="Z80" s="19" t="str">
        <f aca="false">IF($L80&lt;&gt;"Planned","",IF($Y80&lt;=$S80,"Red",IF($Y80&lt;=$T80,"Yellow",IF($Y80&lt;=$U80,"Green","Above green"))))</f>
        <v/>
      </c>
      <c r="AA80" s="22" t="str">
        <f aca="false">IF(OR($L80&lt;&gt;"Planned",N($U80)&lt;=0),"",$Y80/$U80)</f>
        <v/>
      </c>
      <c r="AB80" s="8" t="str">
        <f aca="false">IF($L80&lt;&gt;"Planned","",IF($Y80&lt;=$T80,ROUNDUP(MAX($U80-$Y80,N($E80))/IF(N($F80)&gt;0,$F80,1)-0.000000001,0)*IF(N($F80)&gt;0,$F80,1),""))</f>
        <v/>
      </c>
      <c r="AC80" s="23" t="str">
        <f aca="false">IF(N($AB80)&gt;0,PlanDate+ROUNDUP($D80,0),"")</f>
        <v/>
      </c>
      <c r="AD80" s="19" t="str">
        <f aca="false">IF($L80&lt;&gt;"Planned","",IF(N($H80)&lt;=0,"Stockout",IF(N($H80)&lt;$S80*0.5,"Critical",IF(N($H80)&lt;=$S80,"Low",IF(N($H80)&gt;$U80,"Over top of green","OK")))))</f>
        <v/>
      </c>
      <c r="AE80" s="8" t="str">
        <f aca="false">IF($A80="","",$A80&amp;"")</f>
        <v/>
      </c>
      <c r="AF80" s="8" t="str">
        <f aca="false">IF($A80="","",SUBSTITUTE(SUBSTITUTE(SUBSTITUTE($A80&amp;"","~","~~"),"*","~*"),"?","~?"))</f>
        <v/>
      </c>
    </row>
    <row r="81" customFormat="false" ht="15" hidden="false" customHeight="false" outlineLevel="0" collapsed="false">
      <c r="A81" s="11"/>
      <c r="B81" s="11"/>
      <c r="C81" s="11"/>
      <c r="D81" s="16"/>
      <c r="E81" s="11"/>
      <c r="F81" s="11"/>
      <c r="G81" s="9"/>
      <c r="H81" s="11"/>
      <c r="I81" s="17"/>
      <c r="J81" s="18" t="str">
        <f aca="false">IF($A81="","",IF(COUNT(Usage!$C:$C)=0,"",MAX(0,SUMIFS(Usage!$C:$C,Usage!$A:$A,$AF81,Usage!$B:$B,"&gt;="&amp;(PlanDate-AduWindow),Usage!$B:$B,"&lt;"&amp;PlanDate))/AduWindow))</f>
        <v/>
      </c>
      <c r="K81" s="18" t="str">
        <f aca="false">IF($A81="","",IF(AND(ISNUMBER($I81),N($I81)&gt;=0),$I81,$J81))</f>
        <v/>
      </c>
      <c r="L81" s="19" t="str">
        <f aca="false">IF($A81="","",IF($K81="","Needs ADU",IF($K81&lt;=0,"No recent demand",IF(N($D81)&lt;=0,"Needs lead time","Planned"))))</f>
        <v/>
      </c>
      <c r="M81" s="8" t="str">
        <f aca="false">IF($A81="","",IF(ISNUMBER(MATCH($C81,Profiles!$A$2:$A$100,0)),$C81,DefaultProfile))</f>
        <v/>
      </c>
      <c r="N81" s="20" t="str">
        <f aca="false">IF($A81="","",INDEX(Profiles!$D$2:$D$100,MATCH($M81,Profiles!$A$2:$A$100,0)))</f>
        <v/>
      </c>
      <c r="O81" s="20" t="str">
        <f aca="false">IF($A81="","",INDEX(Profiles!$E$2:$E$100,MATCH($M81,Profiles!$A$2:$A$100,0)))</f>
        <v/>
      </c>
      <c r="P81" s="21" t="str">
        <f aca="false">IF($L81&lt;&gt;"Planned","",$K81*$D81*$N81*(1+$O81))</f>
        <v/>
      </c>
      <c r="Q81" s="21" t="str">
        <f aca="false">IF($L81&lt;&gt;"Planned","",$K81*$D81)</f>
        <v/>
      </c>
      <c r="R81" s="21" t="str">
        <f aca="false">IF($L81&lt;&gt;"Planned","",MAX(N($E81),$K81*$D81*$N81,$K81*N($G81)))</f>
        <v/>
      </c>
      <c r="S81" s="21" t="str">
        <f aca="false">IF($L81&lt;&gt;"Planned","",$P81)</f>
        <v/>
      </c>
      <c r="T81" s="21" t="str">
        <f aca="false">IF($L81&lt;&gt;"Planned","",$P81+$Q81)</f>
        <v/>
      </c>
      <c r="U81" s="21" t="str">
        <f aca="false">IF($L81&lt;&gt;"Planned","",$T81+$R81)</f>
        <v/>
      </c>
      <c r="V81" s="8" t="str">
        <f aca="false">IF($A81="","",SUMIFS('Open supply'!$C:$C,'Open supply'!$A:$A,$AF81))</f>
        <v/>
      </c>
      <c r="W81" s="8" t="str">
        <f aca="false">IF($A81="","",SUMIFS('Open supply'!$C:$C,'Open supply'!$A:$A,$AF81,'Open supply'!$B:$B,"&lt;"&amp;PlanDate))</f>
        <v/>
      </c>
      <c r="X81" s="8" t="str">
        <f aca="false">IF($A81="","",SUMIFS('Open demand'!$G:$G,'Open demand'!$A:$A,$AF81))</f>
        <v/>
      </c>
      <c r="Y81" s="8" t="str">
        <f aca="false">IF($L81&lt;&gt;"Planned","",N($H81)+$V81-$X81)</f>
        <v/>
      </c>
      <c r="Z81" s="19" t="str">
        <f aca="false">IF($L81&lt;&gt;"Planned","",IF($Y81&lt;=$S81,"Red",IF($Y81&lt;=$T81,"Yellow",IF($Y81&lt;=$U81,"Green","Above green"))))</f>
        <v/>
      </c>
      <c r="AA81" s="22" t="str">
        <f aca="false">IF(OR($L81&lt;&gt;"Planned",N($U81)&lt;=0),"",$Y81/$U81)</f>
        <v/>
      </c>
      <c r="AB81" s="8" t="str">
        <f aca="false">IF($L81&lt;&gt;"Planned","",IF($Y81&lt;=$T81,ROUNDUP(MAX($U81-$Y81,N($E81))/IF(N($F81)&gt;0,$F81,1)-0.000000001,0)*IF(N($F81)&gt;0,$F81,1),""))</f>
        <v/>
      </c>
      <c r="AC81" s="23" t="str">
        <f aca="false">IF(N($AB81)&gt;0,PlanDate+ROUNDUP($D81,0),"")</f>
        <v/>
      </c>
      <c r="AD81" s="19" t="str">
        <f aca="false">IF($L81&lt;&gt;"Planned","",IF(N($H81)&lt;=0,"Stockout",IF(N($H81)&lt;$S81*0.5,"Critical",IF(N($H81)&lt;=$S81,"Low",IF(N($H81)&gt;$U81,"Over top of green","OK")))))</f>
        <v/>
      </c>
      <c r="AE81" s="8" t="str">
        <f aca="false">IF($A81="","",$A81&amp;"")</f>
        <v/>
      </c>
      <c r="AF81" s="8" t="str">
        <f aca="false">IF($A81="","",SUBSTITUTE(SUBSTITUTE(SUBSTITUTE($A81&amp;"","~","~~"),"*","~*"),"?","~?"))</f>
        <v/>
      </c>
    </row>
    <row r="82" customFormat="false" ht="15" hidden="false" customHeight="false" outlineLevel="0" collapsed="false">
      <c r="A82" s="11"/>
      <c r="B82" s="11"/>
      <c r="C82" s="11"/>
      <c r="D82" s="16"/>
      <c r="E82" s="11"/>
      <c r="F82" s="11"/>
      <c r="G82" s="9"/>
      <c r="H82" s="11"/>
      <c r="I82" s="17"/>
      <c r="J82" s="18" t="str">
        <f aca="false">IF($A82="","",IF(COUNT(Usage!$C:$C)=0,"",MAX(0,SUMIFS(Usage!$C:$C,Usage!$A:$A,$AF82,Usage!$B:$B,"&gt;="&amp;(PlanDate-AduWindow),Usage!$B:$B,"&lt;"&amp;PlanDate))/AduWindow))</f>
        <v/>
      </c>
      <c r="K82" s="18" t="str">
        <f aca="false">IF($A82="","",IF(AND(ISNUMBER($I82),N($I82)&gt;=0),$I82,$J82))</f>
        <v/>
      </c>
      <c r="L82" s="19" t="str">
        <f aca="false">IF($A82="","",IF($K82="","Needs ADU",IF($K82&lt;=0,"No recent demand",IF(N($D82)&lt;=0,"Needs lead time","Planned"))))</f>
        <v/>
      </c>
      <c r="M82" s="8" t="str">
        <f aca="false">IF($A82="","",IF(ISNUMBER(MATCH($C82,Profiles!$A$2:$A$100,0)),$C82,DefaultProfile))</f>
        <v/>
      </c>
      <c r="N82" s="20" t="str">
        <f aca="false">IF($A82="","",INDEX(Profiles!$D$2:$D$100,MATCH($M82,Profiles!$A$2:$A$100,0)))</f>
        <v/>
      </c>
      <c r="O82" s="20" t="str">
        <f aca="false">IF($A82="","",INDEX(Profiles!$E$2:$E$100,MATCH($M82,Profiles!$A$2:$A$100,0)))</f>
        <v/>
      </c>
      <c r="P82" s="21" t="str">
        <f aca="false">IF($L82&lt;&gt;"Planned","",$K82*$D82*$N82*(1+$O82))</f>
        <v/>
      </c>
      <c r="Q82" s="21" t="str">
        <f aca="false">IF($L82&lt;&gt;"Planned","",$K82*$D82)</f>
        <v/>
      </c>
      <c r="R82" s="21" t="str">
        <f aca="false">IF($L82&lt;&gt;"Planned","",MAX(N($E82),$K82*$D82*$N82,$K82*N($G82)))</f>
        <v/>
      </c>
      <c r="S82" s="21" t="str">
        <f aca="false">IF($L82&lt;&gt;"Planned","",$P82)</f>
        <v/>
      </c>
      <c r="T82" s="21" t="str">
        <f aca="false">IF($L82&lt;&gt;"Planned","",$P82+$Q82)</f>
        <v/>
      </c>
      <c r="U82" s="21" t="str">
        <f aca="false">IF($L82&lt;&gt;"Planned","",$T82+$R82)</f>
        <v/>
      </c>
      <c r="V82" s="8" t="str">
        <f aca="false">IF($A82="","",SUMIFS('Open supply'!$C:$C,'Open supply'!$A:$A,$AF82))</f>
        <v/>
      </c>
      <c r="W82" s="8" t="str">
        <f aca="false">IF($A82="","",SUMIFS('Open supply'!$C:$C,'Open supply'!$A:$A,$AF82,'Open supply'!$B:$B,"&lt;"&amp;PlanDate))</f>
        <v/>
      </c>
      <c r="X82" s="8" t="str">
        <f aca="false">IF($A82="","",SUMIFS('Open demand'!$G:$G,'Open demand'!$A:$A,$AF82))</f>
        <v/>
      </c>
      <c r="Y82" s="8" t="str">
        <f aca="false">IF($L82&lt;&gt;"Planned","",N($H82)+$V82-$X82)</f>
        <v/>
      </c>
      <c r="Z82" s="19" t="str">
        <f aca="false">IF($L82&lt;&gt;"Planned","",IF($Y82&lt;=$S82,"Red",IF($Y82&lt;=$T82,"Yellow",IF($Y82&lt;=$U82,"Green","Above green"))))</f>
        <v/>
      </c>
      <c r="AA82" s="22" t="str">
        <f aca="false">IF(OR($L82&lt;&gt;"Planned",N($U82)&lt;=0),"",$Y82/$U82)</f>
        <v/>
      </c>
      <c r="AB82" s="8" t="str">
        <f aca="false">IF($L82&lt;&gt;"Planned","",IF($Y82&lt;=$T82,ROUNDUP(MAX($U82-$Y82,N($E82))/IF(N($F82)&gt;0,$F82,1)-0.000000001,0)*IF(N($F82)&gt;0,$F82,1),""))</f>
        <v/>
      </c>
      <c r="AC82" s="23" t="str">
        <f aca="false">IF(N($AB82)&gt;0,PlanDate+ROUNDUP($D82,0),"")</f>
        <v/>
      </c>
      <c r="AD82" s="19" t="str">
        <f aca="false">IF($L82&lt;&gt;"Planned","",IF(N($H82)&lt;=0,"Stockout",IF(N($H82)&lt;$S82*0.5,"Critical",IF(N($H82)&lt;=$S82,"Low",IF(N($H82)&gt;$U82,"Over top of green","OK")))))</f>
        <v/>
      </c>
      <c r="AE82" s="8" t="str">
        <f aca="false">IF($A82="","",$A82&amp;"")</f>
        <v/>
      </c>
      <c r="AF82" s="8" t="str">
        <f aca="false">IF($A82="","",SUBSTITUTE(SUBSTITUTE(SUBSTITUTE($A82&amp;"","~","~~"),"*","~*"),"?","~?"))</f>
        <v/>
      </c>
    </row>
    <row r="83" customFormat="false" ht="15" hidden="false" customHeight="false" outlineLevel="0" collapsed="false">
      <c r="A83" s="11"/>
      <c r="B83" s="11"/>
      <c r="C83" s="11"/>
      <c r="D83" s="16"/>
      <c r="E83" s="11"/>
      <c r="F83" s="11"/>
      <c r="G83" s="9"/>
      <c r="H83" s="11"/>
      <c r="I83" s="17"/>
      <c r="J83" s="18" t="str">
        <f aca="false">IF($A83="","",IF(COUNT(Usage!$C:$C)=0,"",MAX(0,SUMIFS(Usage!$C:$C,Usage!$A:$A,$AF83,Usage!$B:$B,"&gt;="&amp;(PlanDate-AduWindow),Usage!$B:$B,"&lt;"&amp;PlanDate))/AduWindow))</f>
        <v/>
      </c>
      <c r="K83" s="18" t="str">
        <f aca="false">IF($A83="","",IF(AND(ISNUMBER($I83),N($I83)&gt;=0),$I83,$J83))</f>
        <v/>
      </c>
      <c r="L83" s="19" t="str">
        <f aca="false">IF($A83="","",IF($K83="","Needs ADU",IF($K83&lt;=0,"No recent demand",IF(N($D83)&lt;=0,"Needs lead time","Planned"))))</f>
        <v/>
      </c>
      <c r="M83" s="8" t="str">
        <f aca="false">IF($A83="","",IF(ISNUMBER(MATCH($C83,Profiles!$A$2:$A$100,0)),$C83,DefaultProfile))</f>
        <v/>
      </c>
      <c r="N83" s="20" t="str">
        <f aca="false">IF($A83="","",INDEX(Profiles!$D$2:$D$100,MATCH($M83,Profiles!$A$2:$A$100,0)))</f>
        <v/>
      </c>
      <c r="O83" s="20" t="str">
        <f aca="false">IF($A83="","",INDEX(Profiles!$E$2:$E$100,MATCH($M83,Profiles!$A$2:$A$100,0)))</f>
        <v/>
      </c>
      <c r="P83" s="21" t="str">
        <f aca="false">IF($L83&lt;&gt;"Planned","",$K83*$D83*$N83*(1+$O83))</f>
        <v/>
      </c>
      <c r="Q83" s="21" t="str">
        <f aca="false">IF($L83&lt;&gt;"Planned","",$K83*$D83)</f>
        <v/>
      </c>
      <c r="R83" s="21" t="str">
        <f aca="false">IF($L83&lt;&gt;"Planned","",MAX(N($E83),$K83*$D83*$N83,$K83*N($G83)))</f>
        <v/>
      </c>
      <c r="S83" s="21" t="str">
        <f aca="false">IF($L83&lt;&gt;"Planned","",$P83)</f>
        <v/>
      </c>
      <c r="T83" s="21" t="str">
        <f aca="false">IF($L83&lt;&gt;"Planned","",$P83+$Q83)</f>
        <v/>
      </c>
      <c r="U83" s="21" t="str">
        <f aca="false">IF($L83&lt;&gt;"Planned","",$T83+$R83)</f>
        <v/>
      </c>
      <c r="V83" s="8" t="str">
        <f aca="false">IF($A83="","",SUMIFS('Open supply'!$C:$C,'Open supply'!$A:$A,$AF83))</f>
        <v/>
      </c>
      <c r="W83" s="8" t="str">
        <f aca="false">IF($A83="","",SUMIFS('Open supply'!$C:$C,'Open supply'!$A:$A,$AF83,'Open supply'!$B:$B,"&lt;"&amp;PlanDate))</f>
        <v/>
      </c>
      <c r="X83" s="8" t="str">
        <f aca="false">IF($A83="","",SUMIFS('Open demand'!$G:$G,'Open demand'!$A:$A,$AF83))</f>
        <v/>
      </c>
      <c r="Y83" s="8" t="str">
        <f aca="false">IF($L83&lt;&gt;"Planned","",N($H83)+$V83-$X83)</f>
        <v/>
      </c>
      <c r="Z83" s="19" t="str">
        <f aca="false">IF($L83&lt;&gt;"Planned","",IF($Y83&lt;=$S83,"Red",IF($Y83&lt;=$T83,"Yellow",IF($Y83&lt;=$U83,"Green","Above green"))))</f>
        <v/>
      </c>
      <c r="AA83" s="22" t="str">
        <f aca="false">IF(OR($L83&lt;&gt;"Planned",N($U83)&lt;=0),"",$Y83/$U83)</f>
        <v/>
      </c>
      <c r="AB83" s="8" t="str">
        <f aca="false">IF($L83&lt;&gt;"Planned","",IF($Y83&lt;=$T83,ROUNDUP(MAX($U83-$Y83,N($E83))/IF(N($F83)&gt;0,$F83,1)-0.000000001,0)*IF(N($F83)&gt;0,$F83,1),""))</f>
        <v/>
      </c>
      <c r="AC83" s="23" t="str">
        <f aca="false">IF(N($AB83)&gt;0,PlanDate+ROUNDUP($D83,0),"")</f>
        <v/>
      </c>
      <c r="AD83" s="19" t="str">
        <f aca="false">IF($L83&lt;&gt;"Planned","",IF(N($H83)&lt;=0,"Stockout",IF(N($H83)&lt;$S83*0.5,"Critical",IF(N($H83)&lt;=$S83,"Low",IF(N($H83)&gt;$U83,"Over top of green","OK")))))</f>
        <v/>
      </c>
      <c r="AE83" s="8" t="str">
        <f aca="false">IF($A83="","",$A83&amp;"")</f>
        <v/>
      </c>
      <c r="AF83" s="8" t="str">
        <f aca="false">IF($A83="","",SUBSTITUTE(SUBSTITUTE(SUBSTITUTE($A83&amp;"","~","~~"),"*","~*"),"?","~?"))</f>
        <v/>
      </c>
    </row>
    <row r="84" customFormat="false" ht="15" hidden="false" customHeight="false" outlineLevel="0" collapsed="false">
      <c r="A84" s="11"/>
      <c r="B84" s="11"/>
      <c r="C84" s="11"/>
      <c r="D84" s="16"/>
      <c r="E84" s="11"/>
      <c r="F84" s="11"/>
      <c r="G84" s="9"/>
      <c r="H84" s="11"/>
      <c r="I84" s="17"/>
      <c r="J84" s="18" t="str">
        <f aca="false">IF($A84="","",IF(COUNT(Usage!$C:$C)=0,"",MAX(0,SUMIFS(Usage!$C:$C,Usage!$A:$A,$AF84,Usage!$B:$B,"&gt;="&amp;(PlanDate-AduWindow),Usage!$B:$B,"&lt;"&amp;PlanDate))/AduWindow))</f>
        <v/>
      </c>
      <c r="K84" s="18" t="str">
        <f aca="false">IF($A84="","",IF(AND(ISNUMBER($I84),N($I84)&gt;=0),$I84,$J84))</f>
        <v/>
      </c>
      <c r="L84" s="19" t="str">
        <f aca="false">IF($A84="","",IF($K84="","Needs ADU",IF($K84&lt;=0,"No recent demand",IF(N($D84)&lt;=0,"Needs lead time","Planned"))))</f>
        <v/>
      </c>
      <c r="M84" s="8" t="str">
        <f aca="false">IF($A84="","",IF(ISNUMBER(MATCH($C84,Profiles!$A$2:$A$100,0)),$C84,DefaultProfile))</f>
        <v/>
      </c>
      <c r="N84" s="20" t="str">
        <f aca="false">IF($A84="","",INDEX(Profiles!$D$2:$D$100,MATCH($M84,Profiles!$A$2:$A$100,0)))</f>
        <v/>
      </c>
      <c r="O84" s="20" t="str">
        <f aca="false">IF($A84="","",INDEX(Profiles!$E$2:$E$100,MATCH($M84,Profiles!$A$2:$A$100,0)))</f>
        <v/>
      </c>
      <c r="P84" s="21" t="str">
        <f aca="false">IF($L84&lt;&gt;"Planned","",$K84*$D84*$N84*(1+$O84))</f>
        <v/>
      </c>
      <c r="Q84" s="21" t="str">
        <f aca="false">IF($L84&lt;&gt;"Planned","",$K84*$D84)</f>
        <v/>
      </c>
      <c r="R84" s="21" t="str">
        <f aca="false">IF($L84&lt;&gt;"Planned","",MAX(N($E84),$K84*$D84*$N84,$K84*N($G84)))</f>
        <v/>
      </c>
      <c r="S84" s="21" t="str">
        <f aca="false">IF($L84&lt;&gt;"Planned","",$P84)</f>
        <v/>
      </c>
      <c r="T84" s="21" t="str">
        <f aca="false">IF($L84&lt;&gt;"Planned","",$P84+$Q84)</f>
        <v/>
      </c>
      <c r="U84" s="21" t="str">
        <f aca="false">IF($L84&lt;&gt;"Planned","",$T84+$R84)</f>
        <v/>
      </c>
      <c r="V84" s="8" t="str">
        <f aca="false">IF($A84="","",SUMIFS('Open supply'!$C:$C,'Open supply'!$A:$A,$AF84))</f>
        <v/>
      </c>
      <c r="W84" s="8" t="str">
        <f aca="false">IF($A84="","",SUMIFS('Open supply'!$C:$C,'Open supply'!$A:$A,$AF84,'Open supply'!$B:$B,"&lt;"&amp;PlanDate))</f>
        <v/>
      </c>
      <c r="X84" s="8" t="str">
        <f aca="false">IF($A84="","",SUMIFS('Open demand'!$G:$G,'Open demand'!$A:$A,$AF84))</f>
        <v/>
      </c>
      <c r="Y84" s="8" t="str">
        <f aca="false">IF($L84&lt;&gt;"Planned","",N($H84)+$V84-$X84)</f>
        <v/>
      </c>
      <c r="Z84" s="19" t="str">
        <f aca="false">IF($L84&lt;&gt;"Planned","",IF($Y84&lt;=$S84,"Red",IF($Y84&lt;=$T84,"Yellow",IF($Y84&lt;=$U84,"Green","Above green"))))</f>
        <v/>
      </c>
      <c r="AA84" s="22" t="str">
        <f aca="false">IF(OR($L84&lt;&gt;"Planned",N($U84)&lt;=0),"",$Y84/$U84)</f>
        <v/>
      </c>
      <c r="AB84" s="8" t="str">
        <f aca="false">IF($L84&lt;&gt;"Planned","",IF($Y84&lt;=$T84,ROUNDUP(MAX($U84-$Y84,N($E84))/IF(N($F84)&gt;0,$F84,1)-0.000000001,0)*IF(N($F84)&gt;0,$F84,1),""))</f>
        <v/>
      </c>
      <c r="AC84" s="23" t="str">
        <f aca="false">IF(N($AB84)&gt;0,PlanDate+ROUNDUP($D84,0),"")</f>
        <v/>
      </c>
      <c r="AD84" s="19" t="str">
        <f aca="false">IF($L84&lt;&gt;"Planned","",IF(N($H84)&lt;=0,"Stockout",IF(N($H84)&lt;$S84*0.5,"Critical",IF(N($H84)&lt;=$S84,"Low",IF(N($H84)&gt;$U84,"Over top of green","OK")))))</f>
        <v/>
      </c>
      <c r="AE84" s="8" t="str">
        <f aca="false">IF($A84="","",$A84&amp;"")</f>
        <v/>
      </c>
      <c r="AF84" s="8" t="str">
        <f aca="false">IF($A84="","",SUBSTITUTE(SUBSTITUTE(SUBSTITUTE($A84&amp;"","~","~~"),"*","~*"),"?","~?"))</f>
        <v/>
      </c>
    </row>
    <row r="85" customFormat="false" ht="15" hidden="false" customHeight="false" outlineLevel="0" collapsed="false">
      <c r="A85" s="11"/>
      <c r="B85" s="11"/>
      <c r="C85" s="11"/>
      <c r="D85" s="16"/>
      <c r="E85" s="11"/>
      <c r="F85" s="11"/>
      <c r="G85" s="9"/>
      <c r="H85" s="11"/>
      <c r="I85" s="17"/>
      <c r="J85" s="18" t="str">
        <f aca="false">IF($A85="","",IF(COUNT(Usage!$C:$C)=0,"",MAX(0,SUMIFS(Usage!$C:$C,Usage!$A:$A,$AF85,Usage!$B:$B,"&gt;="&amp;(PlanDate-AduWindow),Usage!$B:$B,"&lt;"&amp;PlanDate))/AduWindow))</f>
        <v/>
      </c>
      <c r="K85" s="18" t="str">
        <f aca="false">IF($A85="","",IF(AND(ISNUMBER($I85),N($I85)&gt;=0),$I85,$J85))</f>
        <v/>
      </c>
      <c r="L85" s="19" t="str">
        <f aca="false">IF($A85="","",IF($K85="","Needs ADU",IF($K85&lt;=0,"No recent demand",IF(N($D85)&lt;=0,"Needs lead time","Planned"))))</f>
        <v/>
      </c>
      <c r="M85" s="8" t="str">
        <f aca="false">IF($A85="","",IF(ISNUMBER(MATCH($C85,Profiles!$A$2:$A$100,0)),$C85,DefaultProfile))</f>
        <v/>
      </c>
      <c r="N85" s="20" t="str">
        <f aca="false">IF($A85="","",INDEX(Profiles!$D$2:$D$100,MATCH($M85,Profiles!$A$2:$A$100,0)))</f>
        <v/>
      </c>
      <c r="O85" s="20" t="str">
        <f aca="false">IF($A85="","",INDEX(Profiles!$E$2:$E$100,MATCH($M85,Profiles!$A$2:$A$100,0)))</f>
        <v/>
      </c>
      <c r="P85" s="21" t="str">
        <f aca="false">IF($L85&lt;&gt;"Planned","",$K85*$D85*$N85*(1+$O85))</f>
        <v/>
      </c>
      <c r="Q85" s="21" t="str">
        <f aca="false">IF($L85&lt;&gt;"Planned","",$K85*$D85)</f>
        <v/>
      </c>
      <c r="R85" s="21" t="str">
        <f aca="false">IF($L85&lt;&gt;"Planned","",MAX(N($E85),$K85*$D85*$N85,$K85*N($G85)))</f>
        <v/>
      </c>
      <c r="S85" s="21" t="str">
        <f aca="false">IF($L85&lt;&gt;"Planned","",$P85)</f>
        <v/>
      </c>
      <c r="T85" s="21" t="str">
        <f aca="false">IF($L85&lt;&gt;"Planned","",$P85+$Q85)</f>
        <v/>
      </c>
      <c r="U85" s="21" t="str">
        <f aca="false">IF($L85&lt;&gt;"Planned","",$T85+$R85)</f>
        <v/>
      </c>
      <c r="V85" s="8" t="str">
        <f aca="false">IF($A85="","",SUMIFS('Open supply'!$C:$C,'Open supply'!$A:$A,$AF85))</f>
        <v/>
      </c>
      <c r="W85" s="8" t="str">
        <f aca="false">IF($A85="","",SUMIFS('Open supply'!$C:$C,'Open supply'!$A:$A,$AF85,'Open supply'!$B:$B,"&lt;"&amp;PlanDate))</f>
        <v/>
      </c>
      <c r="X85" s="8" t="str">
        <f aca="false">IF($A85="","",SUMIFS('Open demand'!$G:$G,'Open demand'!$A:$A,$AF85))</f>
        <v/>
      </c>
      <c r="Y85" s="8" t="str">
        <f aca="false">IF($L85&lt;&gt;"Planned","",N($H85)+$V85-$X85)</f>
        <v/>
      </c>
      <c r="Z85" s="19" t="str">
        <f aca="false">IF($L85&lt;&gt;"Planned","",IF($Y85&lt;=$S85,"Red",IF($Y85&lt;=$T85,"Yellow",IF($Y85&lt;=$U85,"Green","Above green"))))</f>
        <v/>
      </c>
      <c r="AA85" s="22" t="str">
        <f aca="false">IF(OR($L85&lt;&gt;"Planned",N($U85)&lt;=0),"",$Y85/$U85)</f>
        <v/>
      </c>
      <c r="AB85" s="8" t="str">
        <f aca="false">IF($L85&lt;&gt;"Planned","",IF($Y85&lt;=$T85,ROUNDUP(MAX($U85-$Y85,N($E85))/IF(N($F85)&gt;0,$F85,1)-0.000000001,0)*IF(N($F85)&gt;0,$F85,1),""))</f>
        <v/>
      </c>
      <c r="AC85" s="23" t="str">
        <f aca="false">IF(N($AB85)&gt;0,PlanDate+ROUNDUP($D85,0),"")</f>
        <v/>
      </c>
      <c r="AD85" s="19" t="str">
        <f aca="false">IF($L85&lt;&gt;"Planned","",IF(N($H85)&lt;=0,"Stockout",IF(N($H85)&lt;$S85*0.5,"Critical",IF(N($H85)&lt;=$S85,"Low",IF(N($H85)&gt;$U85,"Over top of green","OK")))))</f>
        <v/>
      </c>
      <c r="AE85" s="8" t="str">
        <f aca="false">IF($A85="","",$A85&amp;"")</f>
        <v/>
      </c>
      <c r="AF85" s="8" t="str">
        <f aca="false">IF($A85="","",SUBSTITUTE(SUBSTITUTE(SUBSTITUTE($A85&amp;"","~","~~"),"*","~*"),"?","~?"))</f>
        <v/>
      </c>
    </row>
    <row r="86" customFormat="false" ht="15" hidden="false" customHeight="false" outlineLevel="0" collapsed="false">
      <c r="A86" s="11"/>
      <c r="B86" s="11"/>
      <c r="C86" s="11"/>
      <c r="D86" s="16"/>
      <c r="E86" s="11"/>
      <c r="F86" s="11"/>
      <c r="G86" s="9"/>
      <c r="H86" s="11"/>
      <c r="I86" s="17"/>
      <c r="J86" s="18" t="str">
        <f aca="false">IF($A86="","",IF(COUNT(Usage!$C:$C)=0,"",MAX(0,SUMIFS(Usage!$C:$C,Usage!$A:$A,$AF86,Usage!$B:$B,"&gt;="&amp;(PlanDate-AduWindow),Usage!$B:$B,"&lt;"&amp;PlanDate))/AduWindow))</f>
        <v/>
      </c>
      <c r="K86" s="18" t="str">
        <f aca="false">IF($A86="","",IF(AND(ISNUMBER($I86),N($I86)&gt;=0),$I86,$J86))</f>
        <v/>
      </c>
      <c r="L86" s="19" t="str">
        <f aca="false">IF($A86="","",IF($K86="","Needs ADU",IF($K86&lt;=0,"No recent demand",IF(N($D86)&lt;=0,"Needs lead time","Planned"))))</f>
        <v/>
      </c>
      <c r="M86" s="8" t="str">
        <f aca="false">IF($A86="","",IF(ISNUMBER(MATCH($C86,Profiles!$A$2:$A$100,0)),$C86,DefaultProfile))</f>
        <v/>
      </c>
      <c r="N86" s="20" t="str">
        <f aca="false">IF($A86="","",INDEX(Profiles!$D$2:$D$100,MATCH($M86,Profiles!$A$2:$A$100,0)))</f>
        <v/>
      </c>
      <c r="O86" s="20" t="str">
        <f aca="false">IF($A86="","",INDEX(Profiles!$E$2:$E$100,MATCH($M86,Profiles!$A$2:$A$100,0)))</f>
        <v/>
      </c>
      <c r="P86" s="21" t="str">
        <f aca="false">IF($L86&lt;&gt;"Planned","",$K86*$D86*$N86*(1+$O86))</f>
        <v/>
      </c>
      <c r="Q86" s="21" t="str">
        <f aca="false">IF($L86&lt;&gt;"Planned","",$K86*$D86)</f>
        <v/>
      </c>
      <c r="R86" s="21" t="str">
        <f aca="false">IF($L86&lt;&gt;"Planned","",MAX(N($E86),$K86*$D86*$N86,$K86*N($G86)))</f>
        <v/>
      </c>
      <c r="S86" s="21" t="str">
        <f aca="false">IF($L86&lt;&gt;"Planned","",$P86)</f>
        <v/>
      </c>
      <c r="T86" s="21" t="str">
        <f aca="false">IF($L86&lt;&gt;"Planned","",$P86+$Q86)</f>
        <v/>
      </c>
      <c r="U86" s="21" t="str">
        <f aca="false">IF($L86&lt;&gt;"Planned","",$T86+$R86)</f>
        <v/>
      </c>
      <c r="V86" s="8" t="str">
        <f aca="false">IF($A86="","",SUMIFS('Open supply'!$C:$C,'Open supply'!$A:$A,$AF86))</f>
        <v/>
      </c>
      <c r="W86" s="8" t="str">
        <f aca="false">IF($A86="","",SUMIFS('Open supply'!$C:$C,'Open supply'!$A:$A,$AF86,'Open supply'!$B:$B,"&lt;"&amp;PlanDate))</f>
        <v/>
      </c>
      <c r="X86" s="8" t="str">
        <f aca="false">IF($A86="","",SUMIFS('Open demand'!$G:$G,'Open demand'!$A:$A,$AF86))</f>
        <v/>
      </c>
      <c r="Y86" s="8" t="str">
        <f aca="false">IF($L86&lt;&gt;"Planned","",N($H86)+$V86-$X86)</f>
        <v/>
      </c>
      <c r="Z86" s="19" t="str">
        <f aca="false">IF($L86&lt;&gt;"Planned","",IF($Y86&lt;=$S86,"Red",IF($Y86&lt;=$T86,"Yellow",IF($Y86&lt;=$U86,"Green","Above green"))))</f>
        <v/>
      </c>
      <c r="AA86" s="22" t="str">
        <f aca="false">IF(OR($L86&lt;&gt;"Planned",N($U86)&lt;=0),"",$Y86/$U86)</f>
        <v/>
      </c>
      <c r="AB86" s="8" t="str">
        <f aca="false">IF($L86&lt;&gt;"Planned","",IF($Y86&lt;=$T86,ROUNDUP(MAX($U86-$Y86,N($E86))/IF(N($F86)&gt;0,$F86,1)-0.000000001,0)*IF(N($F86)&gt;0,$F86,1),""))</f>
        <v/>
      </c>
      <c r="AC86" s="23" t="str">
        <f aca="false">IF(N($AB86)&gt;0,PlanDate+ROUNDUP($D86,0),"")</f>
        <v/>
      </c>
      <c r="AD86" s="19" t="str">
        <f aca="false">IF($L86&lt;&gt;"Planned","",IF(N($H86)&lt;=0,"Stockout",IF(N($H86)&lt;$S86*0.5,"Critical",IF(N($H86)&lt;=$S86,"Low",IF(N($H86)&gt;$U86,"Over top of green","OK")))))</f>
        <v/>
      </c>
      <c r="AE86" s="8" t="str">
        <f aca="false">IF($A86="","",$A86&amp;"")</f>
        <v/>
      </c>
      <c r="AF86" s="8" t="str">
        <f aca="false">IF($A86="","",SUBSTITUTE(SUBSTITUTE(SUBSTITUTE($A86&amp;"","~","~~"),"*","~*"),"?","~?"))</f>
        <v/>
      </c>
    </row>
    <row r="87" customFormat="false" ht="15" hidden="false" customHeight="false" outlineLevel="0" collapsed="false">
      <c r="A87" s="11"/>
      <c r="B87" s="11"/>
      <c r="C87" s="11"/>
      <c r="D87" s="16"/>
      <c r="E87" s="11"/>
      <c r="F87" s="11"/>
      <c r="G87" s="9"/>
      <c r="H87" s="11"/>
      <c r="I87" s="17"/>
      <c r="J87" s="18" t="str">
        <f aca="false">IF($A87="","",IF(COUNT(Usage!$C:$C)=0,"",MAX(0,SUMIFS(Usage!$C:$C,Usage!$A:$A,$AF87,Usage!$B:$B,"&gt;="&amp;(PlanDate-AduWindow),Usage!$B:$B,"&lt;"&amp;PlanDate))/AduWindow))</f>
        <v/>
      </c>
      <c r="K87" s="18" t="str">
        <f aca="false">IF($A87="","",IF(AND(ISNUMBER($I87),N($I87)&gt;=0),$I87,$J87))</f>
        <v/>
      </c>
      <c r="L87" s="19" t="str">
        <f aca="false">IF($A87="","",IF($K87="","Needs ADU",IF($K87&lt;=0,"No recent demand",IF(N($D87)&lt;=0,"Needs lead time","Planned"))))</f>
        <v/>
      </c>
      <c r="M87" s="8" t="str">
        <f aca="false">IF($A87="","",IF(ISNUMBER(MATCH($C87,Profiles!$A$2:$A$100,0)),$C87,DefaultProfile))</f>
        <v/>
      </c>
      <c r="N87" s="20" t="str">
        <f aca="false">IF($A87="","",INDEX(Profiles!$D$2:$D$100,MATCH($M87,Profiles!$A$2:$A$100,0)))</f>
        <v/>
      </c>
      <c r="O87" s="20" t="str">
        <f aca="false">IF($A87="","",INDEX(Profiles!$E$2:$E$100,MATCH($M87,Profiles!$A$2:$A$100,0)))</f>
        <v/>
      </c>
      <c r="P87" s="21" t="str">
        <f aca="false">IF($L87&lt;&gt;"Planned","",$K87*$D87*$N87*(1+$O87))</f>
        <v/>
      </c>
      <c r="Q87" s="21" t="str">
        <f aca="false">IF($L87&lt;&gt;"Planned","",$K87*$D87)</f>
        <v/>
      </c>
      <c r="R87" s="21" t="str">
        <f aca="false">IF($L87&lt;&gt;"Planned","",MAX(N($E87),$K87*$D87*$N87,$K87*N($G87)))</f>
        <v/>
      </c>
      <c r="S87" s="21" t="str">
        <f aca="false">IF($L87&lt;&gt;"Planned","",$P87)</f>
        <v/>
      </c>
      <c r="T87" s="21" t="str">
        <f aca="false">IF($L87&lt;&gt;"Planned","",$P87+$Q87)</f>
        <v/>
      </c>
      <c r="U87" s="21" t="str">
        <f aca="false">IF($L87&lt;&gt;"Planned","",$T87+$R87)</f>
        <v/>
      </c>
      <c r="V87" s="8" t="str">
        <f aca="false">IF($A87="","",SUMIFS('Open supply'!$C:$C,'Open supply'!$A:$A,$AF87))</f>
        <v/>
      </c>
      <c r="W87" s="8" t="str">
        <f aca="false">IF($A87="","",SUMIFS('Open supply'!$C:$C,'Open supply'!$A:$A,$AF87,'Open supply'!$B:$B,"&lt;"&amp;PlanDate))</f>
        <v/>
      </c>
      <c r="X87" s="8" t="str">
        <f aca="false">IF($A87="","",SUMIFS('Open demand'!$G:$G,'Open demand'!$A:$A,$AF87))</f>
        <v/>
      </c>
      <c r="Y87" s="8" t="str">
        <f aca="false">IF($L87&lt;&gt;"Planned","",N($H87)+$V87-$X87)</f>
        <v/>
      </c>
      <c r="Z87" s="19" t="str">
        <f aca="false">IF($L87&lt;&gt;"Planned","",IF($Y87&lt;=$S87,"Red",IF($Y87&lt;=$T87,"Yellow",IF($Y87&lt;=$U87,"Green","Above green"))))</f>
        <v/>
      </c>
      <c r="AA87" s="22" t="str">
        <f aca="false">IF(OR($L87&lt;&gt;"Planned",N($U87)&lt;=0),"",$Y87/$U87)</f>
        <v/>
      </c>
      <c r="AB87" s="8" t="str">
        <f aca="false">IF($L87&lt;&gt;"Planned","",IF($Y87&lt;=$T87,ROUNDUP(MAX($U87-$Y87,N($E87))/IF(N($F87)&gt;0,$F87,1)-0.000000001,0)*IF(N($F87)&gt;0,$F87,1),""))</f>
        <v/>
      </c>
      <c r="AC87" s="23" t="str">
        <f aca="false">IF(N($AB87)&gt;0,PlanDate+ROUNDUP($D87,0),"")</f>
        <v/>
      </c>
      <c r="AD87" s="19" t="str">
        <f aca="false">IF($L87&lt;&gt;"Planned","",IF(N($H87)&lt;=0,"Stockout",IF(N($H87)&lt;$S87*0.5,"Critical",IF(N($H87)&lt;=$S87,"Low",IF(N($H87)&gt;$U87,"Over top of green","OK")))))</f>
        <v/>
      </c>
      <c r="AE87" s="8" t="str">
        <f aca="false">IF($A87="","",$A87&amp;"")</f>
        <v/>
      </c>
      <c r="AF87" s="8" t="str">
        <f aca="false">IF($A87="","",SUBSTITUTE(SUBSTITUTE(SUBSTITUTE($A87&amp;"","~","~~"),"*","~*"),"?","~?"))</f>
        <v/>
      </c>
    </row>
    <row r="88" customFormat="false" ht="15" hidden="false" customHeight="false" outlineLevel="0" collapsed="false">
      <c r="A88" s="11"/>
      <c r="B88" s="11"/>
      <c r="C88" s="11"/>
      <c r="D88" s="16"/>
      <c r="E88" s="11"/>
      <c r="F88" s="11"/>
      <c r="G88" s="9"/>
      <c r="H88" s="11"/>
      <c r="I88" s="17"/>
      <c r="J88" s="18" t="str">
        <f aca="false">IF($A88="","",IF(COUNT(Usage!$C:$C)=0,"",MAX(0,SUMIFS(Usage!$C:$C,Usage!$A:$A,$AF88,Usage!$B:$B,"&gt;="&amp;(PlanDate-AduWindow),Usage!$B:$B,"&lt;"&amp;PlanDate))/AduWindow))</f>
        <v/>
      </c>
      <c r="K88" s="18" t="str">
        <f aca="false">IF($A88="","",IF(AND(ISNUMBER($I88),N($I88)&gt;=0),$I88,$J88))</f>
        <v/>
      </c>
      <c r="L88" s="19" t="str">
        <f aca="false">IF($A88="","",IF($K88="","Needs ADU",IF($K88&lt;=0,"No recent demand",IF(N($D88)&lt;=0,"Needs lead time","Planned"))))</f>
        <v/>
      </c>
      <c r="M88" s="8" t="str">
        <f aca="false">IF($A88="","",IF(ISNUMBER(MATCH($C88,Profiles!$A$2:$A$100,0)),$C88,DefaultProfile))</f>
        <v/>
      </c>
      <c r="N88" s="20" t="str">
        <f aca="false">IF($A88="","",INDEX(Profiles!$D$2:$D$100,MATCH($M88,Profiles!$A$2:$A$100,0)))</f>
        <v/>
      </c>
      <c r="O88" s="20" t="str">
        <f aca="false">IF($A88="","",INDEX(Profiles!$E$2:$E$100,MATCH($M88,Profiles!$A$2:$A$100,0)))</f>
        <v/>
      </c>
      <c r="P88" s="21" t="str">
        <f aca="false">IF($L88&lt;&gt;"Planned","",$K88*$D88*$N88*(1+$O88))</f>
        <v/>
      </c>
      <c r="Q88" s="21" t="str">
        <f aca="false">IF($L88&lt;&gt;"Planned","",$K88*$D88)</f>
        <v/>
      </c>
      <c r="R88" s="21" t="str">
        <f aca="false">IF($L88&lt;&gt;"Planned","",MAX(N($E88),$K88*$D88*$N88,$K88*N($G88)))</f>
        <v/>
      </c>
      <c r="S88" s="21" t="str">
        <f aca="false">IF($L88&lt;&gt;"Planned","",$P88)</f>
        <v/>
      </c>
      <c r="T88" s="21" t="str">
        <f aca="false">IF($L88&lt;&gt;"Planned","",$P88+$Q88)</f>
        <v/>
      </c>
      <c r="U88" s="21" t="str">
        <f aca="false">IF($L88&lt;&gt;"Planned","",$T88+$R88)</f>
        <v/>
      </c>
      <c r="V88" s="8" t="str">
        <f aca="false">IF($A88="","",SUMIFS('Open supply'!$C:$C,'Open supply'!$A:$A,$AF88))</f>
        <v/>
      </c>
      <c r="W88" s="8" t="str">
        <f aca="false">IF($A88="","",SUMIFS('Open supply'!$C:$C,'Open supply'!$A:$A,$AF88,'Open supply'!$B:$B,"&lt;"&amp;PlanDate))</f>
        <v/>
      </c>
      <c r="X88" s="8" t="str">
        <f aca="false">IF($A88="","",SUMIFS('Open demand'!$G:$G,'Open demand'!$A:$A,$AF88))</f>
        <v/>
      </c>
      <c r="Y88" s="8" t="str">
        <f aca="false">IF($L88&lt;&gt;"Planned","",N($H88)+$V88-$X88)</f>
        <v/>
      </c>
      <c r="Z88" s="19" t="str">
        <f aca="false">IF($L88&lt;&gt;"Planned","",IF($Y88&lt;=$S88,"Red",IF($Y88&lt;=$T88,"Yellow",IF($Y88&lt;=$U88,"Green","Above green"))))</f>
        <v/>
      </c>
      <c r="AA88" s="22" t="str">
        <f aca="false">IF(OR($L88&lt;&gt;"Planned",N($U88)&lt;=0),"",$Y88/$U88)</f>
        <v/>
      </c>
      <c r="AB88" s="8" t="str">
        <f aca="false">IF($L88&lt;&gt;"Planned","",IF($Y88&lt;=$T88,ROUNDUP(MAX($U88-$Y88,N($E88))/IF(N($F88)&gt;0,$F88,1)-0.000000001,0)*IF(N($F88)&gt;0,$F88,1),""))</f>
        <v/>
      </c>
      <c r="AC88" s="23" t="str">
        <f aca="false">IF(N($AB88)&gt;0,PlanDate+ROUNDUP($D88,0),"")</f>
        <v/>
      </c>
      <c r="AD88" s="19" t="str">
        <f aca="false">IF($L88&lt;&gt;"Planned","",IF(N($H88)&lt;=0,"Stockout",IF(N($H88)&lt;$S88*0.5,"Critical",IF(N($H88)&lt;=$S88,"Low",IF(N($H88)&gt;$U88,"Over top of green","OK")))))</f>
        <v/>
      </c>
      <c r="AE88" s="8" t="str">
        <f aca="false">IF($A88="","",$A88&amp;"")</f>
        <v/>
      </c>
      <c r="AF88" s="8" t="str">
        <f aca="false">IF($A88="","",SUBSTITUTE(SUBSTITUTE(SUBSTITUTE($A88&amp;"","~","~~"),"*","~*"),"?","~?"))</f>
        <v/>
      </c>
    </row>
    <row r="89" customFormat="false" ht="15" hidden="false" customHeight="false" outlineLevel="0" collapsed="false">
      <c r="A89" s="11"/>
      <c r="B89" s="11"/>
      <c r="C89" s="11"/>
      <c r="D89" s="16"/>
      <c r="E89" s="11"/>
      <c r="F89" s="11"/>
      <c r="G89" s="9"/>
      <c r="H89" s="11"/>
      <c r="I89" s="17"/>
      <c r="J89" s="18" t="str">
        <f aca="false">IF($A89="","",IF(COUNT(Usage!$C:$C)=0,"",MAX(0,SUMIFS(Usage!$C:$C,Usage!$A:$A,$AF89,Usage!$B:$B,"&gt;="&amp;(PlanDate-AduWindow),Usage!$B:$B,"&lt;"&amp;PlanDate))/AduWindow))</f>
        <v/>
      </c>
      <c r="K89" s="18" t="str">
        <f aca="false">IF($A89="","",IF(AND(ISNUMBER($I89),N($I89)&gt;=0),$I89,$J89))</f>
        <v/>
      </c>
      <c r="L89" s="19" t="str">
        <f aca="false">IF($A89="","",IF($K89="","Needs ADU",IF($K89&lt;=0,"No recent demand",IF(N($D89)&lt;=0,"Needs lead time","Planned"))))</f>
        <v/>
      </c>
      <c r="M89" s="8" t="str">
        <f aca="false">IF($A89="","",IF(ISNUMBER(MATCH($C89,Profiles!$A$2:$A$100,0)),$C89,DefaultProfile))</f>
        <v/>
      </c>
      <c r="N89" s="20" t="str">
        <f aca="false">IF($A89="","",INDEX(Profiles!$D$2:$D$100,MATCH($M89,Profiles!$A$2:$A$100,0)))</f>
        <v/>
      </c>
      <c r="O89" s="20" t="str">
        <f aca="false">IF($A89="","",INDEX(Profiles!$E$2:$E$100,MATCH($M89,Profiles!$A$2:$A$100,0)))</f>
        <v/>
      </c>
      <c r="P89" s="21" t="str">
        <f aca="false">IF($L89&lt;&gt;"Planned","",$K89*$D89*$N89*(1+$O89))</f>
        <v/>
      </c>
      <c r="Q89" s="21" t="str">
        <f aca="false">IF($L89&lt;&gt;"Planned","",$K89*$D89)</f>
        <v/>
      </c>
      <c r="R89" s="21" t="str">
        <f aca="false">IF($L89&lt;&gt;"Planned","",MAX(N($E89),$K89*$D89*$N89,$K89*N($G89)))</f>
        <v/>
      </c>
      <c r="S89" s="21" t="str">
        <f aca="false">IF($L89&lt;&gt;"Planned","",$P89)</f>
        <v/>
      </c>
      <c r="T89" s="21" t="str">
        <f aca="false">IF($L89&lt;&gt;"Planned","",$P89+$Q89)</f>
        <v/>
      </c>
      <c r="U89" s="21" t="str">
        <f aca="false">IF($L89&lt;&gt;"Planned","",$T89+$R89)</f>
        <v/>
      </c>
      <c r="V89" s="8" t="str">
        <f aca="false">IF($A89="","",SUMIFS('Open supply'!$C:$C,'Open supply'!$A:$A,$AF89))</f>
        <v/>
      </c>
      <c r="W89" s="8" t="str">
        <f aca="false">IF($A89="","",SUMIFS('Open supply'!$C:$C,'Open supply'!$A:$A,$AF89,'Open supply'!$B:$B,"&lt;"&amp;PlanDate))</f>
        <v/>
      </c>
      <c r="X89" s="8" t="str">
        <f aca="false">IF($A89="","",SUMIFS('Open demand'!$G:$G,'Open demand'!$A:$A,$AF89))</f>
        <v/>
      </c>
      <c r="Y89" s="8" t="str">
        <f aca="false">IF($L89&lt;&gt;"Planned","",N($H89)+$V89-$X89)</f>
        <v/>
      </c>
      <c r="Z89" s="19" t="str">
        <f aca="false">IF($L89&lt;&gt;"Planned","",IF($Y89&lt;=$S89,"Red",IF($Y89&lt;=$T89,"Yellow",IF($Y89&lt;=$U89,"Green","Above green"))))</f>
        <v/>
      </c>
      <c r="AA89" s="22" t="str">
        <f aca="false">IF(OR($L89&lt;&gt;"Planned",N($U89)&lt;=0),"",$Y89/$U89)</f>
        <v/>
      </c>
      <c r="AB89" s="8" t="str">
        <f aca="false">IF($L89&lt;&gt;"Planned","",IF($Y89&lt;=$T89,ROUNDUP(MAX($U89-$Y89,N($E89))/IF(N($F89)&gt;0,$F89,1)-0.000000001,0)*IF(N($F89)&gt;0,$F89,1),""))</f>
        <v/>
      </c>
      <c r="AC89" s="23" t="str">
        <f aca="false">IF(N($AB89)&gt;0,PlanDate+ROUNDUP($D89,0),"")</f>
        <v/>
      </c>
      <c r="AD89" s="19" t="str">
        <f aca="false">IF($L89&lt;&gt;"Planned","",IF(N($H89)&lt;=0,"Stockout",IF(N($H89)&lt;$S89*0.5,"Critical",IF(N($H89)&lt;=$S89,"Low",IF(N($H89)&gt;$U89,"Over top of green","OK")))))</f>
        <v/>
      </c>
      <c r="AE89" s="8" t="str">
        <f aca="false">IF($A89="","",$A89&amp;"")</f>
        <v/>
      </c>
      <c r="AF89" s="8" t="str">
        <f aca="false">IF($A89="","",SUBSTITUTE(SUBSTITUTE(SUBSTITUTE($A89&amp;"","~","~~"),"*","~*"),"?","~?"))</f>
        <v/>
      </c>
    </row>
    <row r="90" customFormat="false" ht="15" hidden="false" customHeight="false" outlineLevel="0" collapsed="false">
      <c r="A90" s="11"/>
      <c r="B90" s="11"/>
      <c r="C90" s="11"/>
      <c r="D90" s="16"/>
      <c r="E90" s="11"/>
      <c r="F90" s="11"/>
      <c r="G90" s="9"/>
      <c r="H90" s="11"/>
      <c r="I90" s="17"/>
      <c r="J90" s="18" t="str">
        <f aca="false">IF($A90="","",IF(COUNT(Usage!$C:$C)=0,"",MAX(0,SUMIFS(Usage!$C:$C,Usage!$A:$A,$AF90,Usage!$B:$B,"&gt;="&amp;(PlanDate-AduWindow),Usage!$B:$B,"&lt;"&amp;PlanDate))/AduWindow))</f>
        <v/>
      </c>
      <c r="K90" s="18" t="str">
        <f aca="false">IF($A90="","",IF(AND(ISNUMBER($I90),N($I90)&gt;=0),$I90,$J90))</f>
        <v/>
      </c>
      <c r="L90" s="19" t="str">
        <f aca="false">IF($A90="","",IF($K90="","Needs ADU",IF($K90&lt;=0,"No recent demand",IF(N($D90)&lt;=0,"Needs lead time","Planned"))))</f>
        <v/>
      </c>
      <c r="M90" s="8" t="str">
        <f aca="false">IF($A90="","",IF(ISNUMBER(MATCH($C90,Profiles!$A$2:$A$100,0)),$C90,DefaultProfile))</f>
        <v/>
      </c>
      <c r="N90" s="20" t="str">
        <f aca="false">IF($A90="","",INDEX(Profiles!$D$2:$D$100,MATCH($M90,Profiles!$A$2:$A$100,0)))</f>
        <v/>
      </c>
      <c r="O90" s="20" t="str">
        <f aca="false">IF($A90="","",INDEX(Profiles!$E$2:$E$100,MATCH($M90,Profiles!$A$2:$A$100,0)))</f>
        <v/>
      </c>
      <c r="P90" s="21" t="str">
        <f aca="false">IF($L90&lt;&gt;"Planned","",$K90*$D90*$N90*(1+$O90))</f>
        <v/>
      </c>
      <c r="Q90" s="21" t="str">
        <f aca="false">IF($L90&lt;&gt;"Planned","",$K90*$D90)</f>
        <v/>
      </c>
      <c r="R90" s="21" t="str">
        <f aca="false">IF($L90&lt;&gt;"Planned","",MAX(N($E90),$K90*$D90*$N90,$K90*N($G90)))</f>
        <v/>
      </c>
      <c r="S90" s="21" t="str">
        <f aca="false">IF($L90&lt;&gt;"Planned","",$P90)</f>
        <v/>
      </c>
      <c r="T90" s="21" t="str">
        <f aca="false">IF($L90&lt;&gt;"Planned","",$P90+$Q90)</f>
        <v/>
      </c>
      <c r="U90" s="21" t="str">
        <f aca="false">IF($L90&lt;&gt;"Planned","",$T90+$R90)</f>
        <v/>
      </c>
      <c r="V90" s="8" t="str">
        <f aca="false">IF($A90="","",SUMIFS('Open supply'!$C:$C,'Open supply'!$A:$A,$AF90))</f>
        <v/>
      </c>
      <c r="W90" s="8" t="str">
        <f aca="false">IF($A90="","",SUMIFS('Open supply'!$C:$C,'Open supply'!$A:$A,$AF90,'Open supply'!$B:$B,"&lt;"&amp;PlanDate))</f>
        <v/>
      </c>
      <c r="X90" s="8" t="str">
        <f aca="false">IF($A90="","",SUMIFS('Open demand'!$G:$G,'Open demand'!$A:$A,$AF90))</f>
        <v/>
      </c>
      <c r="Y90" s="8" t="str">
        <f aca="false">IF($L90&lt;&gt;"Planned","",N($H90)+$V90-$X90)</f>
        <v/>
      </c>
      <c r="Z90" s="19" t="str">
        <f aca="false">IF($L90&lt;&gt;"Planned","",IF($Y90&lt;=$S90,"Red",IF($Y90&lt;=$T90,"Yellow",IF($Y90&lt;=$U90,"Green","Above green"))))</f>
        <v/>
      </c>
      <c r="AA90" s="22" t="str">
        <f aca="false">IF(OR($L90&lt;&gt;"Planned",N($U90)&lt;=0),"",$Y90/$U90)</f>
        <v/>
      </c>
      <c r="AB90" s="8" t="str">
        <f aca="false">IF($L90&lt;&gt;"Planned","",IF($Y90&lt;=$T90,ROUNDUP(MAX($U90-$Y90,N($E90))/IF(N($F90)&gt;0,$F90,1)-0.000000001,0)*IF(N($F90)&gt;0,$F90,1),""))</f>
        <v/>
      </c>
      <c r="AC90" s="23" t="str">
        <f aca="false">IF(N($AB90)&gt;0,PlanDate+ROUNDUP($D90,0),"")</f>
        <v/>
      </c>
      <c r="AD90" s="19" t="str">
        <f aca="false">IF($L90&lt;&gt;"Planned","",IF(N($H90)&lt;=0,"Stockout",IF(N($H90)&lt;$S90*0.5,"Critical",IF(N($H90)&lt;=$S90,"Low",IF(N($H90)&gt;$U90,"Over top of green","OK")))))</f>
        <v/>
      </c>
      <c r="AE90" s="8" t="str">
        <f aca="false">IF($A90="","",$A90&amp;"")</f>
        <v/>
      </c>
      <c r="AF90" s="8" t="str">
        <f aca="false">IF($A90="","",SUBSTITUTE(SUBSTITUTE(SUBSTITUTE($A90&amp;"","~","~~"),"*","~*"),"?","~?"))</f>
        <v/>
      </c>
    </row>
    <row r="91" customFormat="false" ht="15" hidden="false" customHeight="false" outlineLevel="0" collapsed="false">
      <c r="A91" s="11"/>
      <c r="B91" s="11"/>
      <c r="C91" s="11"/>
      <c r="D91" s="16"/>
      <c r="E91" s="11"/>
      <c r="F91" s="11"/>
      <c r="G91" s="9"/>
      <c r="H91" s="11"/>
      <c r="I91" s="17"/>
      <c r="J91" s="18" t="str">
        <f aca="false">IF($A91="","",IF(COUNT(Usage!$C:$C)=0,"",MAX(0,SUMIFS(Usage!$C:$C,Usage!$A:$A,$AF91,Usage!$B:$B,"&gt;="&amp;(PlanDate-AduWindow),Usage!$B:$B,"&lt;"&amp;PlanDate))/AduWindow))</f>
        <v/>
      </c>
      <c r="K91" s="18" t="str">
        <f aca="false">IF($A91="","",IF(AND(ISNUMBER($I91),N($I91)&gt;=0),$I91,$J91))</f>
        <v/>
      </c>
      <c r="L91" s="19" t="str">
        <f aca="false">IF($A91="","",IF($K91="","Needs ADU",IF($K91&lt;=0,"No recent demand",IF(N($D91)&lt;=0,"Needs lead time","Planned"))))</f>
        <v/>
      </c>
      <c r="M91" s="8" t="str">
        <f aca="false">IF($A91="","",IF(ISNUMBER(MATCH($C91,Profiles!$A$2:$A$100,0)),$C91,DefaultProfile))</f>
        <v/>
      </c>
      <c r="N91" s="20" t="str">
        <f aca="false">IF($A91="","",INDEX(Profiles!$D$2:$D$100,MATCH($M91,Profiles!$A$2:$A$100,0)))</f>
        <v/>
      </c>
      <c r="O91" s="20" t="str">
        <f aca="false">IF($A91="","",INDEX(Profiles!$E$2:$E$100,MATCH($M91,Profiles!$A$2:$A$100,0)))</f>
        <v/>
      </c>
      <c r="P91" s="21" t="str">
        <f aca="false">IF($L91&lt;&gt;"Planned","",$K91*$D91*$N91*(1+$O91))</f>
        <v/>
      </c>
      <c r="Q91" s="21" t="str">
        <f aca="false">IF($L91&lt;&gt;"Planned","",$K91*$D91)</f>
        <v/>
      </c>
      <c r="R91" s="21" t="str">
        <f aca="false">IF($L91&lt;&gt;"Planned","",MAX(N($E91),$K91*$D91*$N91,$K91*N($G91)))</f>
        <v/>
      </c>
      <c r="S91" s="21" t="str">
        <f aca="false">IF($L91&lt;&gt;"Planned","",$P91)</f>
        <v/>
      </c>
      <c r="T91" s="21" t="str">
        <f aca="false">IF($L91&lt;&gt;"Planned","",$P91+$Q91)</f>
        <v/>
      </c>
      <c r="U91" s="21" t="str">
        <f aca="false">IF($L91&lt;&gt;"Planned","",$T91+$R91)</f>
        <v/>
      </c>
      <c r="V91" s="8" t="str">
        <f aca="false">IF($A91="","",SUMIFS('Open supply'!$C:$C,'Open supply'!$A:$A,$AF91))</f>
        <v/>
      </c>
      <c r="W91" s="8" t="str">
        <f aca="false">IF($A91="","",SUMIFS('Open supply'!$C:$C,'Open supply'!$A:$A,$AF91,'Open supply'!$B:$B,"&lt;"&amp;PlanDate))</f>
        <v/>
      </c>
      <c r="X91" s="8" t="str">
        <f aca="false">IF($A91="","",SUMIFS('Open demand'!$G:$G,'Open demand'!$A:$A,$AF91))</f>
        <v/>
      </c>
      <c r="Y91" s="8" t="str">
        <f aca="false">IF($L91&lt;&gt;"Planned","",N($H91)+$V91-$X91)</f>
        <v/>
      </c>
      <c r="Z91" s="19" t="str">
        <f aca="false">IF($L91&lt;&gt;"Planned","",IF($Y91&lt;=$S91,"Red",IF($Y91&lt;=$T91,"Yellow",IF($Y91&lt;=$U91,"Green","Above green"))))</f>
        <v/>
      </c>
      <c r="AA91" s="22" t="str">
        <f aca="false">IF(OR($L91&lt;&gt;"Planned",N($U91)&lt;=0),"",$Y91/$U91)</f>
        <v/>
      </c>
      <c r="AB91" s="8" t="str">
        <f aca="false">IF($L91&lt;&gt;"Planned","",IF($Y91&lt;=$T91,ROUNDUP(MAX($U91-$Y91,N($E91))/IF(N($F91)&gt;0,$F91,1)-0.000000001,0)*IF(N($F91)&gt;0,$F91,1),""))</f>
        <v/>
      </c>
      <c r="AC91" s="23" t="str">
        <f aca="false">IF(N($AB91)&gt;0,PlanDate+ROUNDUP($D91,0),"")</f>
        <v/>
      </c>
      <c r="AD91" s="19" t="str">
        <f aca="false">IF($L91&lt;&gt;"Planned","",IF(N($H91)&lt;=0,"Stockout",IF(N($H91)&lt;$S91*0.5,"Critical",IF(N($H91)&lt;=$S91,"Low",IF(N($H91)&gt;$U91,"Over top of green","OK")))))</f>
        <v/>
      </c>
      <c r="AE91" s="8" t="str">
        <f aca="false">IF($A91="","",$A91&amp;"")</f>
        <v/>
      </c>
      <c r="AF91" s="8" t="str">
        <f aca="false">IF($A91="","",SUBSTITUTE(SUBSTITUTE(SUBSTITUTE($A91&amp;"","~","~~"),"*","~*"),"?","~?"))</f>
        <v/>
      </c>
    </row>
    <row r="92" customFormat="false" ht="15" hidden="false" customHeight="false" outlineLevel="0" collapsed="false">
      <c r="A92" s="11"/>
      <c r="B92" s="11"/>
      <c r="C92" s="11"/>
      <c r="D92" s="16"/>
      <c r="E92" s="11"/>
      <c r="F92" s="11"/>
      <c r="G92" s="9"/>
      <c r="H92" s="11"/>
      <c r="I92" s="17"/>
      <c r="J92" s="18" t="str">
        <f aca="false">IF($A92="","",IF(COUNT(Usage!$C:$C)=0,"",MAX(0,SUMIFS(Usage!$C:$C,Usage!$A:$A,$AF92,Usage!$B:$B,"&gt;="&amp;(PlanDate-AduWindow),Usage!$B:$B,"&lt;"&amp;PlanDate))/AduWindow))</f>
        <v/>
      </c>
      <c r="K92" s="18" t="str">
        <f aca="false">IF($A92="","",IF(AND(ISNUMBER($I92),N($I92)&gt;=0),$I92,$J92))</f>
        <v/>
      </c>
      <c r="L92" s="19" t="str">
        <f aca="false">IF($A92="","",IF($K92="","Needs ADU",IF($K92&lt;=0,"No recent demand",IF(N($D92)&lt;=0,"Needs lead time","Planned"))))</f>
        <v/>
      </c>
      <c r="M92" s="8" t="str">
        <f aca="false">IF($A92="","",IF(ISNUMBER(MATCH($C92,Profiles!$A$2:$A$100,0)),$C92,DefaultProfile))</f>
        <v/>
      </c>
      <c r="N92" s="20" t="str">
        <f aca="false">IF($A92="","",INDEX(Profiles!$D$2:$D$100,MATCH($M92,Profiles!$A$2:$A$100,0)))</f>
        <v/>
      </c>
      <c r="O92" s="20" t="str">
        <f aca="false">IF($A92="","",INDEX(Profiles!$E$2:$E$100,MATCH($M92,Profiles!$A$2:$A$100,0)))</f>
        <v/>
      </c>
      <c r="P92" s="21" t="str">
        <f aca="false">IF($L92&lt;&gt;"Planned","",$K92*$D92*$N92*(1+$O92))</f>
        <v/>
      </c>
      <c r="Q92" s="21" t="str">
        <f aca="false">IF($L92&lt;&gt;"Planned","",$K92*$D92)</f>
        <v/>
      </c>
      <c r="R92" s="21" t="str">
        <f aca="false">IF($L92&lt;&gt;"Planned","",MAX(N($E92),$K92*$D92*$N92,$K92*N($G92)))</f>
        <v/>
      </c>
      <c r="S92" s="21" t="str">
        <f aca="false">IF($L92&lt;&gt;"Planned","",$P92)</f>
        <v/>
      </c>
      <c r="T92" s="21" t="str">
        <f aca="false">IF($L92&lt;&gt;"Planned","",$P92+$Q92)</f>
        <v/>
      </c>
      <c r="U92" s="21" t="str">
        <f aca="false">IF($L92&lt;&gt;"Planned","",$T92+$R92)</f>
        <v/>
      </c>
      <c r="V92" s="8" t="str">
        <f aca="false">IF($A92="","",SUMIFS('Open supply'!$C:$C,'Open supply'!$A:$A,$AF92))</f>
        <v/>
      </c>
      <c r="W92" s="8" t="str">
        <f aca="false">IF($A92="","",SUMIFS('Open supply'!$C:$C,'Open supply'!$A:$A,$AF92,'Open supply'!$B:$B,"&lt;"&amp;PlanDate))</f>
        <v/>
      </c>
      <c r="X92" s="8" t="str">
        <f aca="false">IF($A92="","",SUMIFS('Open demand'!$G:$G,'Open demand'!$A:$A,$AF92))</f>
        <v/>
      </c>
      <c r="Y92" s="8" t="str">
        <f aca="false">IF($L92&lt;&gt;"Planned","",N($H92)+$V92-$X92)</f>
        <v/>
      </c>
      <c r="Z92" s="19" t="str">
        <f aca="false">IF($L92&lt;&gt;"Planned","",IF($Y92&lt;=$S92,"Red",IF($Y92&lt;=$T92,"Yellow",IF($Y92&lt;=$U92,"Green","Above green"))))</f>
        <v/>
      </c>
      <c r="AA92" s="22" t="str">
        <f aca="false">IF(OR($L92&lt;&gt;"Planned",N($U92)&lt;=0),"",$Y92/$U92)</f>
        <v/>
      </c>
      <c r="AB92" s="8" t="str">
        <f aca="false">IF($L92&lt;&gt;"Planned","",IF($Y92&lt;=$T92,ROUNDUP(MAX($U92-$Y92,N($E92))/IF(N($F92)&gt;0,$F92,1)-0.000000001,0)*IF(N($F92)&gt;0,$F92,1),""))</f>
        <v/>
      </c>
      <c r="AC92" s="23" t="str">
        <f aca="false">IF(N($AB92)&gt;0,PlanDate+ROUNDUP($D92,0),"")</f>
        <v/>
      </c>
      <c r="AD92" s="19" t="str">
        <f aca="false">IF($L92&lt;&gt;"Planned","",IF(N($H92)&lt;=0,"Stockout",IF(N($H92)&lt;$S92*0.5,"Critical",IF(N($H92)&lt;=$S92,"Low",IF(N($H92)&gt;$U92,"Over top of green","OK")))))</f>
        <v/>
      </c>
      <c r="AE92" s="8" t="str">
        <f aca="false">IF($A92="","",$A92&amp;"")</f>
        <v/>
      </c>
      <c r="AF92" s="8" t="str">
        <f aca="false">IF($A92="","",SUBSTITUTE(SUBSTITUTE(SUBSTITUTE($A92&amp;"","~","~~"),"*","~*"),"?","~?"))</f>
        <v/>
      </c>
    </row>
    <row r="93" customFormat="false" ht="15" hidden="false" customHeight="false" outlineLevel="0" collapsed="false">
      <c r="A93" s="11"/>
      <c r="B93" s="11"/>
      <c r="C93" s="11"/>
      <c r="D93" s="16"/>
      <c r="E93" s="11"/>
      <c r="F93" s="11"/>
      <c r="G93" s="9"/>
      <c r="H93" s="11"/>
      <c r="I93" s="17"/>
      <c r="J93" s="18" t="str">
        <f aca="false">IF($A93="","",IF(COUNT(Usage!$C:$C)=0,"",MAX(0,SUMIFS(Usage!$C:$C,Usage!$A:$A,$AF93,Usage!$B:$B,"&gt;="&amp;(PlanDate-AduWindow),Usage!$B:$B,"&lt;"&amp;PlanDate))/AduWindow))</f>
        <v/>
      </c>
      <c r="K93" s="18" t="str">
        <f aca="false">IF($A93="","",IF(AND(ISNUMBER($I93),N($I93)&gt;=0),$I93,$J93))</f>
        <v/>
      </c>
      <c r="L93" s="19" t="str">
        <f aca="false">IF($A93="","",IF($K93="","Needs ADU",IF($K93&lt;=0,"No recent demand",IF(N($D93)&lt;=0,"Needs lead time","Planned"))))</f>
        <v/>
      </c>
      <c r="M93" s="8" t="str">
        <f aca="false">IF($A93="","",IF(ISNUMBER(MATCH($C93,Profiles!$A$2:$A$100,0)),$C93,DefaultProfile))</f>
        <v/>
      </c>
      <c r="N93" s="20" t="str">
        <f aca="false">IF($A93="","",INDEX(Profiles!$D$2:$D$100,MATCH($M93,Profiles!$A$2:$A$100,0)))</f>
        <v/>
      </c>
      <c r="O93" s="20" t="str">
        <f aca="false">IF($A93="","",INDEX(Profiles!$E$2:$E$100,MATCH($M93,Profiles!$A$2:$A$100,0)))</f>
        <v/>
      </c>
      <c r="P93" s="21" t="str">
        <f aca="false">IF($L93&lt;&gt;"Planned","",$K93*$D93*$N93*(1+$O93))</f>
        <v/>
      </c>
      <c r="Q93" s="21" t="str">
        <f aca="false">IF($L93&lt;&gt;"Planned","",$K93*$D93)</f>
        <v/>
      </c>
      <c r="R93" s="21" t="str">
        <f aca="false">IF($L93&lt;&gt;"Planned","",MAX(N($E93),$K93*$D93*$N93,$K93*N($G93)))</f>
        <v/>
      </c>
      <c r="S93" s="21" t="str">
        <f aca="false">IF($L93&lt;&gt;"Planned","",$P93)</f>
        <v/>
      </c>
      <c r="T93" s="21" t="str">
        <f aca="false">IF($L93&lt;&gt;"Planned","",$P93+$Q93)</f>
        <v/>
      </c>
      <c r="U93" s="21" t="str">
        <f aca="false">IF($L93&lt;&gt;"Planned","",$T93+$R93)</f>
        <v/>
      </c>
      <c r="V93" s="8" t="str">
        <f aca="false">IF($A93="","",SUMIFS('Open supply'!$C:$C,'Open supply'!$A:$A,$AF93))</f>
        <v/>
      </c>
      <c r="W93" s="8" t="str">
        <f aca="false">IF($A93="","",SUMIFS('Open supply'!$C:$C,'Open supply'!$A:$A,$AF93,'Open supply'!$B:$B,"&lt;"&amp;PlanDate))</f>
        <v/>
      </c>
      <c r="X93" s="8" t="str">
        <f aca="false">IF($A93="","",SUMIFS('Open demand'!$G:$G,'Open demand'!$A:$A,$AF93))</f>
        <v/>
      </c>
      <c r="Y93" s="8" t="str">
        <f aca="false">IF($L93&lt;&gt;"Planned","",N($H93)+$V93-$X93)</f>
        <v/>
      </c>
      <c r="Z93" s="19" t="str">
        <f aca="false">IF($L93&lt;&gt;"Planned","",IF($Y93&lt;=$S93,"Red",IF($Y93&lt;=$T93,"Yellow",IF($Y93&lt;=$U93,"Green","Above green"))))</f>
        <v/>
      </c>
      <c r="AA93" s="22" t="str">
        <f aca="false">IF(OR($L93&lt;&gt;"Planned",N($U93)&lt;=0),"",$Y93/$U93)</f>
        <v/>
      </c>
      <c r="AB93" s="8" t="str">
        <f aca="false">IF($L93&lt;&gt;"Planned","",IF($Y93&lt;=$T93,ROUNDUP(MAX($U93-$Y93,N($E93))/IF(N($F93)&gt;0,$F93,1)-0.000000001,0)*IF(N($F93)&gt;0,$F93,1),""))</f>
        <v/>
      </c>
      <c r="AC93" s="23" t="str">
        <f aca="false">IF(N($AB93)&gt;0,PlanDate+ROUNDUP($D93,0),"")</f>
        <v/>
      </c>
      <c r="AD93" s="19" t="str">
        <f aca="false">IF($L93&lt;&gt;"Planned","",IF(N($H93)&lt;=0,"Stockout",IF(N($H93)&lt;$S93*0.5,"Critical",IF(N($H93)&lt;=$S93,"Low",IF(N($H93)&gt;$U93,"Over top of green","OK")))))</f>
        <v/>
      </c>
      <c r="AE93" s="8" t="str">
        <f aca="false">IF($A93="","",$A93&amp;"")</f>
        <v/>
      </c>
      <c r="AF93" s="8" t="str">
        <f aca="false">IF($A93="","",SUBSTITUTE(SUBSTITUTE(SUBSTITUTE($A93&amp;"","~","~~"),"*","~*"),"?","~?"))</f>
        <v/>
      </c>
    </row>
    <row r="94" customFormat="false" ht="15" hidden="false" customHeight="false" outlineLevel="0" collapsed="false">
      <c r="A94" s="11"/>
      <c r="B94" s="11"/>
      <c r="C94" s="11"/>
      <c r="D94" s="16"/>
      <c r="E94" s="11"/>
      <c r="F94" s="11"/>
      <c r="G94" s="9"/>
      <c r="H94" s="11"/>
      <c r="I94" s="17"/>
      <c r="J94" s="18" t="str">
        <f aca="false">IF($A94="","",IF(COUNT(Usage!$C:$C)=0,"",MAX(0,SUMIFS(Usage!$C:$C,Usage!$A:$A,$AF94,Usage!$B:$B,"&gt;="&amp;(PlanDate-AduWindow),Usage!$B:$B,"&lt;"&amp;PlanDate))/AduWindow))</f>
        <v/>
      </c>
      <c r="K94" s="18" t="str">
        <f aca="false">IF($A94="","",IF(AND(ISNUMBER($I94),N($I94)&gt;=0),$I94,$J94))</f>
        <v/>
      </c>
      <c r="L94" s="19" t="str">
        <f aca="false">IF($A94="","",IF($K94="","Needs ADU",IF($K94&lt;=0,"No recent demand",IF(N($D94)&lt;=0,"Needs lead time","Planned"))))</f>
        <v/>
      </c>
      <c r="M94" s="8" t="str">
        <f aca="false">IF($A94="","",IF(ISNUMBER(MATCH($C94,Profiles!$A$2:$A$100,0)),$C94,DefaultProfile))</f>
        <v/>
      </c>
      <c r="N94" s="20" t="str">
        <f aca="false">IF($A94="","",INDEX(Profiles!$D$2:$D$100,MATCH($M94,Profiles!$A$2:$A$100,0)))</f>
        <v/>
      </c>
      <c r="O94" s="20" t="str">
        <f aca="false">IF($A94="","",INDEX(Profiles!$E$2:$E$100,MATCH($M94,Profiles!$A$2:$A$100,0)))</f>
        <v/>
      </c>
      <c r="P94" s="21" t="str">
        <f aca="false">IF($L94&lt;&gt;"Planned","",$K94*$D94*$N94*(1+$O94))</f>
        <v/>
      </c>
      <c r="Q94" s="21" t="str">
        <f aca="false">IF($L94&lt;&gt;"Planned","",$K94*$D94)</f>
        <v/>
      </c>
      <c r="R94" s="21" t="str">
        <f aca="false">IF($L94&lt;&gt;"Planned","",MAX(N($E94),$K94*$D94*$N94,$K94*N($G94)))</f>
        <v/>
      </c>
      <c r="S94" s="21" t="str">
        <f aca="false">IF($L94&lt;&gt;"Planned","",$P94)</f>
        <v/>
      </c>
      <c r="T94" s="21" t="str">
        <f aca="false">IF($L94&lt;&gt;"Planned","",$P94+$Q94)</f>
        <v/>
      </c>
      <c r="U94" s="21" t="str">
        <f aca="false">IF($L94&lt;&gt;"Planned","",$T94+$R94)</f>
        <v/>
      </c>
      <c r="V94" s="8" t="str">
        <f aca="false">IF($A94="","",SUMIFS('Open supply'!$C:$C,'Open supply'!$A:$A,$AF94))</f>
        <v/>
      </c>
      <c r="W94" s="8" t="str">
        <f aca="false">IF($A94="","",SUMIFS('Open supply'!$C:$C,'Open supply'!$A:$A,$AF94,'Open supply'!$B:$B,"&lt;"&amp;PlanDate))</f>
        <v/>
      </c>
      <c r="X94" s="8" t="str">
        <f aca="false">IF($A94="","",SUMIFS('Open demand'!$G:$G,'Open demand'!$A:$A,$AF94))</f>
        <v/>
      </c>
      <c r="Y94" s="8" t="str">
        <f aca="false">IF($L94&lt;&gt;"Planned","",N($H94)+$V94-$X94)</f>
        <v/>
      </c>
      <c r="Z94" s="19" t="str">
        <f aca="false">IF($L94&lt;&gt;"Planned","",IF($Y94&lt;=$S94,"Red",IF($Y94&lt;=$T94,"Yellow",IF($Y94&lt;=$U94,"Green","Above green"))))</f>
        <v/>
      </c>
      <c r="AA94" s="22" t="str">
        <f aca="false">IF(OR($L94&lt;&gt;"Planned",N($U94)&lt;=0),"",$Y94/$U94)</f>
        <v/>
      </c>
      <c r="AB94" s="8" t="str">
        <f aca="false">IF($L94&lt;&gt;"Planned","",IF($Y94&lt;=$T94,ROUNDUP(MAX($U94-$Y94,N($E94))/IF(N($F94)&gt;0,$F94,1)-0.000000001,0)*IF(N($F94)&gt;0,$F94,1),""))</f>
        <v/>
      </c>
      <c r="AC94" s="23" t="str">
        <f aca="false">IF(N($AB94)&gt;0,PlanDate+ROUNDUP($D94,0),"")</f>
        <v/>
      </c>
      <c r="AD94" s="19" t="str">
        <f aca="false">IF($L94&lt;&gt;"Planned","",IF(N($H94)&lt;=0,"Stockout",IF(N($H94)&lt;$S94*0.5,"Critical",IF(N($H94)&lt;=$S94,"Low",IF(N($H94)&gt;$U94,"Over top of green","OK")))))</f>
        <v/>
      </c>
      <c r="AE94" s="8" t="str">
        <f aca="false">IF($A94="","",$A94&amp;"")</f>
        <v/>
      </c>
      <c r="AF94" s="8" t="str">
        <f aca="false">IF($A94="","",SUBSTITUTE(SUBSTITUTE(SUBSTITUTE($A94&amp;"","~","~~"),"*","~*"),"?","~?"))</f>
        <v/>
      </c>
    </row>
    <row r="95" customFormat="false" ht="15" hidden="false" customHeight="false" outlineLevel="0" collapsed="false">
      <c r="A95" s="11"/>
      <c r="B95" s="11"/>
      <c r="C95" s="11"/>
      <c r="D95" s="16"/>
      <c r="E95" s="11"/>
      <c r="F95" s="11"/>
      <c r="G95" s="9"/>
      <c r="H95" s="11"/>
      <c r="I95" s="17"/>
      <c r="J95" s="18" t="str">
        <f aca="false">IF($A95="","",IF(COUNT(Usage!$C:$C)=0,"",MAX(0,SUMIFS(Usage!$C:$C,Usage!$A:$A,$AF95,Usage!$B:$B,"&gt;="&amp;(PlanDate-AduWindow),Usage!$B:$B,"&lt;"&amp;PlanDate))/AduWindow))</f>
        <v/>
      </c>
      <c r="K95" s="18" t="str">
        <f aca="false">IF($A95="","",IF(AND(ISNUMBER($I95),N($I95)&gt;=0),$I95,$J95))</f>
        <v/>
      </c>
      <c r="L95" s="19" t="str">
        <f aca="false">IF($A95="","",IF($K95="","Needs ADU",IF($K95&lt;=0,"No recent demand",IF(N($D95)&lt;=0,"Needs lead time","Planned"))))</f>
        <v/>
      </c>
      <c r="M95" s="8" t="str">
        <f aca="false">IF($A95="","",IF(ISNUMBER(MATCH($C95,Profiles!$A$2:$A$100,0)),$C95,DefaultProfile))</f>
        <v/>
      </c>
      <c r="N95" s="20" t="str">
        <f aca="false">IF($A95="","",INDEX(Profiles!$D$2:$D$100,MATCH($M95,Profiles!$A$2:$A$100,0)))</f>
        <v/>
      </c>
      <c r="O95" s="20" t="str">
        <f aca="false">IF($A95="","",INDEX(Profiles!$E$2:$E$100,MATCH($M95,Profiles!$A$2:$A$100,0)))</f>
        <v/>
      </c>
      <c r="P95" s="21" t="str">
        <f aca="false">IF($L95&lt;&gt;"Planned","",$K95*$D95*$N95*(1+$O95))</f>
        <v/>
      </c>
      <c r="Q95" s="21" t="str">
        <f aca="false">IF($L95&lt;&gt;"Planned","",$K95*$D95)</f>
        <v/>
      </c>
      <c r="R95" s="21" t="str">
        <f aca="false">IF($L95&lt;&gt;"Planned","",MAX(N($E95),$K95*$D95*$N95,$K95*N($G95)))</f>
        <v/>
      </c>
      <c r="S95" s="21" t="str">
        <f aca="false">IF($L95&lt;&gt;"Planned","",$P95)</f>
        <v/>
      </c>
      <c r="T95" s="21" t="str">
        <f aca="false">IF($L95&lt;&gt;"Planned","",$P95+$Q95)</f>
        <v/>
      </c>
      <c r="U95" s="21" t="str">
        <f aca="false">IF($L95&lt;&gt;"Planned","",$T95+$R95)</f>
        <v/>
      </c>
      <c r="V95" s="8" t="str">
        <f aca="false">IF($A95="","",SUMIFS('Open supply'!$C:$C,'Open supply'!$A:$A,$AF95))</f>
        <v/>
      </c>
      <c r="W95" s="8" t="str">
        <f aca="false">IF($A95="","",SUMIFS('Open supply'!$C:$C,'Open supply'!$A:$A,$AF95,'Open supply'!$B:$B,"&lt;"&amp;PlanDate))</f>
        <v/>
      </c>
      <c r="X95" s="8" t="str">
        <f aca="false">IF($A95="","",SUMIFS('Open demand'!$G:$G,'Open demand'!$A:$A,$AF95))</f>
        <v/>
      </c>
      <c r="Y95" s="8" t="str">
        <f aca="false">IF($L95&lt;&gt;"Planned","",N($H95)+$V95-$X95)</f>
        <v/>
      </c>
      <c r="Z95" s="19" t="str">
        <f aca="false">IF($L95&lt;&gt;"Planned","",IF($Y95&lt;=$S95,"Red",IF($Y95&lt;=$T95,"Yellow",IF($Y95&lt;=$U95,"Green","Above green"))))</f>
        <v/>
      </c>
      <c r="AA95" s="22" t="str">
        <f aca="false">IF(OR($L95&lt;&gt;"Planned",N($U95)&lt;=0),"",$Y95/$U95)</f>
        <v/>
      </c>
      <c r="AB95" s="8" t="str">
        <f aca="false">IF($L95&lt;&gt;"Planned","",IF($Y95&lt;=$T95,ROUNDUP(MAX($U95-$Y95,N($E95))/IF(N($F95)&gt;0,$F95,1)-0.000000001,0)*IF(N($F95)&gt;0,$F95,1),""))</f>
        <v/>
      </c>
      <c r="AC95" s="23" t="str">
        <f aca="false">IF(N($AB95)&gt;0,PlanDate+ROUNDUP($D95,0),"")</f>
        <v/>
      </c>
      <c r="AD95" s="19" t="str">
        <f aca="false">IF($L95&lt;&gt;"Planned","",IF(N($H95)&lt;=0,"Stockout",IF(N($H95)&lt;$S95*0.5,"Critical",IF(N($H95)&lt;=$S95,"Low",IF(N($H95)&gt;$U95,"Over top of green","OK")))))</f>
        <v/>
      </c>
      <c r="AE95" s="8" t="str">
        <f aca="false">IF($A95="","",$A95&amp;"")</f>
        <v/>
      </c>
      <c r="AF95" s="8" t="str">
        <f aca="false">IF($A95="","",SUBSTITUTE(SUBSTITUTE(SUBSTITUTE($A95&amp;"","~","~~"),"*","~*"),"?","~?"))</f>
        <v/>
      </c>
    </row>
    <row r="96" customFormat="false" ht="15" hidden="false" customHeight="false" outlineLevel="0" collapsed="false">
      <c r="A96" s="11"/>
      <c r="B96" s="11"/>
      <c r="C96" s="11"/>
      <c r="D96" s="16"/>
      <c r="E96" s="11"/>
      <c r="F96" s="11"/>
      <c r="G96" s="9"/>
      <c r="H96" s="11"/>
      <c r="I96" s="17"/>
      <c r="J96" s="18" t="str">
        <f aca="false">IF($A96="","",IF(COUNT(Usage!$C:$C)=0,"",MAX(0,SUMIFS(Usage!$C:$C,Usage!$A:$A,$AF96,Usage!$B:$B,"&gt;="&amp;(PlanDate-AduWindow),Usage!$B:$B,"&lt;"&amp;PlanDate))/AduWindow))</f>
        <v/>
      </c>
      <c r="K96" s="18" t="str">
        <f aca="false">IF($A96="","",IF(AND(ISNUMBER($I96),N($I96)&gt;=0),$I96,$J96))</f>
        <v/>
      </c>
      <c r="L96" s="19" t="str">
        <f aca="false">IF($A96="","",IF($K96="","Needs ADU",IF($K96&lt;=0,"No recent demand",IF(N($D96)&lt;=0,"Needs lead time","Planned"))))</f>
        <v/>
      </c>
      <c r="M96" s="8" t="str">
        <f aca="false">IF($A96="","",IF(ISNUMBER(MATCH($C96,Profiles!$A$2:$A$100,0)),$C96,DefaultProfile))</f>
        <v/>
      </c>
      <c r="N96" s="20" t="str">
        <f aca="false">IF($A96="","",INDEX(Profiles!$D$2:$D$100,MATCH($M96,Profiles!$A$2:$A$100,0)))</f>
        <v/>
      </c>
      <c r="O96" s="20" t="str">
        <f aca="false">IF($A96="","",INDEX(Profiles!$E$2:$E$100,MATCH($M96,Profiles!$A$2:$A$100,0)))</f>
        <v/>
      </c>
      <c r="P96" s="21" t="str">
        <f aca="false">IF($L96&lt;&gt;"Planned","",$K96*$D96*$N96*(1+$O96))</f>
        <v/>
      </c>
      <c r="Q96" s="21" t="str">
        <f aca="false">IF($L96&lt;&gt;"Planned","",$K96*$D96)</f>
        <v/>
      </c>
      <c r="R96" s="21" t="str">
        <f aca="false">IF($L96&lt;&gt;"Planned","",MAX(N($E96),$K96*$D96*$N96,$K96*N($G96)))</f>
        <v/>
      </c>
      <c r="S96" s="21" t="str">
        <f aca="false">IF($L96&lt;&gt;"Planned","",$P96)</f>
        <v/>
      </c>
      <c r="T96" s="21" t="str">
        <f aca="false">IF($L96&lt;&gt;"Planned","",$P96+$Q96)</f>
        <v/>
      </c>
      <c r="U96" s="21" t="str">
        <f aca="false">IF($L96&lt;&gt;"Planned","",$T96+$R96)</f>
        <v/>
      </c>
      <c r="V96" s="8" t="str">
        <f aca="false">IF($A96="","",SUMIFS('Open supply'!$C:$C,'Open supply'!$A:$A,$AF96))</f>
        <v/>
      </c>
      <c r="W96" s="8" t="str">
        <f aca="false">IF($A96="","",SUMIFS('Open supply'!$C:$C,'Open supply'!$A:$A,$AF96,'Open supply'!$B:$B,"&lt;"&amp;PlanDate))</f>
        <v/>
      </c>
      <c r="X96" s="8" t="str">
        <f aca="false">IF($A96="","",SUMIFS('Open demand'!$G:$G,'Open demand'!$A:$A,$AF96))</f>
        <v/>
      </c>
      <c r="Y96" s="8" t="str">
        <f aca="false">IF($L96&lt;&gt;"Planned","",N($H96)+$V96-$X96)</f>
        <v/>
      </c>
      <c r="Z96" s="19" t="str">
        <f aca="false">IF($L96&lt;&gt;"Planned","",IF($Y96&lt;=$S96,"Red",IF($Y96&lt;=$T96,"Yellow",IF($Y96&lt;=$U96,"Green","Above green"))))</f>
        <v/>
      </c>
      <c r="AA96" s="22" t="str">
        <f aca="false">IF(OR($L96&lt;&gt;"Planned",N($U96)&lt;=0),"",$Y96/$U96)</f>
        <v/>
      </c>
      <c r="AB96" s="8" t="str">
        <f aca="false">IF($L96&lt;&gt;"Planned","",IF($Y96&lt;=$T96,ROUNDUP(MAX($U96-$Y96,N($E96))/IF(N($F96)&gt;0,$F96,1)-0.000000001,0)*IF(N($F96)&gt;0,$F96,1),""))</f>
        <v/>
      </c>
      <c r="AC96" s="23" t="str">
        <f aca="false">IF(N($AB96)&gt;0,PlanDate+ROUNDUP($D96,0),"")</f>
        <v/>
      </c>
      <c r="AD96" s="19" t="str">
        <f aca="false">IF($L96&lt;&gt;"Planned","",IF(N($H96)&lt;=0,"Stockout",IF(N($H96)&lt;$S96*0.5,"Critical",IF(N($H96)&lt;=$S96,"Low",IF(N($H96)&gt;$U96,"Over top of green","OK")))))</f>
        <v/>
      </c>
      <c r="AE96" s="8" t="str">
        <f aca="false">IF($A96="","",$A96&amp;"")</f>
        <v/>
      </c>
      <c r="AF96" s="8" t="str">
        <f aca="false">IF($A96="","",SUBSTITUTE(SUBSTITUTE(SUBSTITUTE($A96&amp;"","~","~~"),"*","~*"),"?","~?"))</f>
        <v/>
      </c>
    </row>
    <row r="97" customFormat="false" ht="15" hidden="false" customHeight="false" outlineLevel="0" collapsed="false">
      <c r="A97" s="11"/>
      <c r="B97" s="11"/>
      <c r="C97" s="11"/>
      <c r="D97" s="16"/>
      <c r="E97" s="11"/>
      <c r="F97" s="11"/>
      <c r="G97" s="9"/>
      <c r="H97" s="11"/>
      <c r="I97" s="17"/>
      <c r="J97" s="18" t="str">
        <f aca="false">IF($A97="","",IF(COUNT(Usage!$C:$C)=0,"",MAX(0,SUMIFS(Usage!$C:$C,Usage!$A:$A,$AF97,Usage!$B:$B,"&gt;="&amp;(PlanDate-AduWindow),Usage!$B:$B,"&lt;"&amp;PlanDate))/AduWindow))</f>
        <v/>
      </c>
      <c r="K97" s="18" t="str">
        <f aca="false">IF($A97="","",IF(AND(ISNUMBER($I97),N($I97)&gt;=0),$I97,$J97))</f>
        <v/>
      </c>
      <c r="L97" s="19" t="str">
        <f aca="false">IF($A97="","",IF($K97="","Needs ADU",IF($K97&lt;=0,"No recent demand",IF(N($D97)&lt;=0,"Needs lead time","Planned"))))</f>
        <v/>
      </c>
      <c r="M97" s="8" t="str">
        <f aca="false">IF($A97="","",IF(ISNUMBER(MATCH($C97,Profiles!$A$2:$A$100,0)),$C97,DefaultProfile))</f>
        <v/>
      </c>
      <c r="N97" s="20" t="str">
        <f aca="false">IF($A97="","",INDEX(Profiles!$D$2:$D$100,MATCH($M97,Profiles!$A$2:$A$100,0)))</f>
        <v/>
      </c>
      <c r="O97" s="20" t="str">
        <f aca="false">IF($A97="","",INDEX(Profiles!$E$2:$E$100,MATCH($M97,Profiles!$A$2:$A$100,0)))</f>
        <v/>
      </c>
      <c r="P97" s="21" t="str">
        <f aca="false">IF($L97&lt;&gt;"Planned","",$K97*$D97*$N97*(1+$O97))</f>
        <v/>
      </c>
      <c r="Q97" s="21" t="str">
        <f aca="false">IF($L97&lt;&gt;"Planned","",$K97*$D97)</f>
        <v/>
      </c>
      <c r="R97" s="21" t="str">
        <f aca="false">IF($L97&lt;&gt;"Planned","",MAX(N($E97),$K97*$D97*$N97,$K97*N($G97)))</f>
        <v/>
      </c>
      <c r="S97" s="21" t="str">
        <f aca="false">IF($L97&lt;&gt;"Planned","",$P97)</f>
        <v/>
      </c>
      <c r="T97" s="21" t="str">
        <f aca="false">IF($L97&lt;&gt;"Planned","",$P97+$Q97)</f>
        <v/>
      </c>
      <c r="U97" s="21" t="str">
        <f aca="false">IF($L97&lt;&gt;"Planned","",$T97+$R97)</f>
        <v/>
      </c>
      <c r="V97" s="8" t="str">
        <f aca="false">IF($A97="","",SUMIFS('Open supply'!$C:$C,'Open supply'!$A:$A,$AF97))</f>
        <v/>
      </c>
      <c r="W97" s="8" t="str">
        <f aca="false">IF($A97="","",SUMIFS('Open supply'!$C:$C,'Open supply'!$A:$A,$AF97,'Open supply'!$B:$B,"&lt;"&amp;PlanDate))</f>
        <v/>
      </c>
      <c r="X97" s="8" t="str">
        <f aca="false">IF($A97="","",SUMIFS('Open demand'!$G:$G,'Open demand'!$A:$A,$AF97))</f>
        <v/>
      </c>
      <c r="Y97" s="8" t="str">
        <f aca="false">IF($L97&lt;&gt;"Planned","",N($H97)+$V97-$X97)</f>
        <v/>
      </c>
      <c r="Z97" s="19" t="str">
        <f aca="false">IF($L97&lt;&gt;"Planned","",IF($Y97&lt;=$S97,"Red",IF($Y97&lt;=$T97,"Yellow",IF($Y97&lt;=$U97,"Green","Above green"))))</f>
        <v/>
      </c>
      <c r="AA97" s="22" t="str">
        <f aca="false">IF(OR($L97&lt;&gt;"Planned",N($U97)&lt;=0),"",$Y97/$U97)</f>
        <v/>
      </c>
      <c r="AB97" s="8" t="str">
        <f aca="false">IF($L97&lt;&gt;"Planned","",IF($Y97&lt;=$T97,ROUNDUP(MAX($U97-$Y97,N($E97))/IF(N($F97)&gt;0,$F97,1)-0.000000001,0)*IF(N($F97)&gt;0,$F97,1),""))</f>
        <v/>
      </c>
      <c r="AC97" s="23" t="str">
        <f aca="false">IF(N($AB97)&gt;0,PlanDate+ROUNDUP($D97,0),"")</f>
        <v/>
      </c>
      <c r="AD97" s="19" t="str">
        <f aca="false">IF($L97&lt;&gt;"Planned","",IF(N($H97)&lt;=0,"Stockout",IF(N($H97)&lt;$S97*0.5,"Critical",IF(N($H97)&lt;=$S97,"Low",IF(N($H97)&gt;$U97,"Over top of green","OK")))))</f>
        <v/>
      </c>
      <c r="AE97" s="8" t="str">
        <f aca="false">IF($A97="","",$A97&amp;"")</f>
        <v/>
      </c>
      <c r="AF97" s="8" t="str">
        <f aca="false">IF($A97="","",SUBSTITUTE(SUBSTITUTE(SUBSTITUTE($A97&amp;"","~","~~"),"*","~*"),"?","~?"))</f>
        <v/>
      </c>
    </row>
    <row r="98" customFormat="false" ht="15" hidden="false" customHeight="false" outlineLevel="0" collapsed="false">
      <c r="A98" s="11"/>
      <c r="B98" s="11"/>
      <c r="C98" s="11"/>
      <c r="D98" s="16"/>
      <c r="E98" s="11"/>
      <c r="F98" s="11"/>
      <c r="G98" s="9"/>
      <c r="H98" s="11"/>
      <c r="I98" s="17"/>
      <c r="J98" s="18" t="str">
        <f aca="false">IF($A98="","",IF(COUNT(Usage!$C:$C)=0,"",MAX(0,SUMIFS(Usage!$C:$C,Usage!$A:$A,$AF98,Usage!$B:$B,"&gt;="&amp;(PlanDate-AduWindow),Usage!$B:$B,"&lt;"&amp;PlanDate))/AduWindow))</f>
        <v/>
      </c>
      <c r="K98" s="18" t="str">
        <f aca="false">IF($A98="","",IF(AND(ISNUMBER($I98),N($I98)&gt;=0),$I98,$J98))</f>
        <v/>
      </c>
      <c r="L98" s="19" t="str">
        <f aca="false">IF($A98="","",IF($K98="","Needs ADU",IF($K98&lt;=0,"No recent demand",IF(N($D98)&lt;=0,"Needs lead time","Planned"))))</f>
        <v/>
      </c>
      <c r="M98" s="8" t="str">
        <f aca="false">IF($A98="","",IF(ISNUMBER(MATCH($C98,Profiles!$A$2:$A$100,0)),$C98,DefaultProfile))</f>
        <v/>
      </c>
      <c r="N98" s="20" t="str">
        <f aca="false">IF($A98="","",INDEX(Profiles!$D$2:$D$100,MATCH($M98,Profiles!$A$2:$A$100,0)))</f>
        <v/>
      </c>
      <c r="O98" s="20" t="str">
        <f aca="false">IF($A98="","",INDEX(Profiles!$E$2:$E$100,MATCH($M98,Profiles!$A$2:$A$100,0)))</f>
        <v/>
      </c>
      <c r="P98" s="21" t="str">
        <f aca="false">IF($L98&lt;&gt;"Planned","",$K98*$D98*$N98*(1+$O98))</f>
        <v/>
      </c>
      <c r="Q98" s="21" t="str">
        <f aca="false">IF($L98&lt;&gt;"Planned","",$K98*$D98)</f>
        <v/>
      </c>
      <c r="R98" s="21" t="str">
        <f aca="false">IF($L98&lt;&gt;"Planned","",MAX(N($E98),$K98*$D98*$N98,$K98*N($G98)))</f>
        <v/>
      </c>
      <c r="S98" s="21" t="str">
        <f aca="false">IF($L98&lt;&gt;"Planned","",$P98)</f>
        <v/>
      </c>
      <c r="T98" s="21" t="str">
        <f aca="false">IF($L98&lt;&gt;"Planned","",$P98+$Q98)</f>
        <v/>
      </c>
      <c r="U98" s="21" t="str">
        <f aca="false">IF($L98&lt;&gt;"Planned","",$T98+$R98)</f>
        <v/>
      </c>
      <c r="V98" s="8" t="str">
        <f aca="false">IF($A98="","",SUMIFS('Open supply'!$C:$C,'Open supply'!$A:$A,$AF98))</f>
        <v/>
      </c>
      <c r="W98" s="8" t="str">
        <f aca="false">IF($A98="","",SUMIFS('Open supply'!$C:$C,'Open supply'!$A:$A,$AF98,'Open supply'!$B:$B,"&lt;"&amp;PlanDate))</f>
        <v/>
      </c>
      <c r="X98" s="8" t="str">
        <f aca="false">IF($A98="","",SUMIFS('Open demand'!$G:$G,'Open demand'!$A:$A,$AF98))</f>
        <v/>
      </c>
      <c r="Y98" s="8" t="str">
        <f aca="false">IF($L98&lt;&gt;"Planned","",N($H98)+$V98-$X98)</f>
        <v/>
      </c>
      <c r="Z98" s="19" t="str">
        <f aca="false">IF($L98&lt;&gt;"Planned","",IF($Y98&lt;=$S98,"Red",IF($Y98&lt;=$T98,"Yellow",IF($Y98&lt;=$U98,"Green","Above green"))))</f>
        <v/>
      </c>
      <c r="AA98" s="22" t="str">
        <f aca="false">IF(OR($L98&lt;&gt;"Planned",N($U98)&lt;=0),"",$Y98/$U98)</f>
        <v/>
      </c>
      <c r="AB98" s="8" t="str">
        <f aca="false">IF($L98&lt;&gt;"Planned","",IF($Y98&lt;=$T98,ROUNDUP(MAX($U98-$Y98,N($E98))/IF(N($F98)&gt;0,$F98,1)-0.000000001,0)*IF(N($F98)&gt;0,$F98,1),""))</f>
        <v/>
      </c>
      <c r="AC98" s="23" t="str">
        <f aca="false">IF(N($AB98)&gt;0,PlanDate+ROUNDUP($D98,0),"")</f>
        <v/>
      </c>
      <c r="AD98" s="19" t="str">
        <f aca="false">IF($L98&lt;&gt;"Planned","",IF(N($H98)&lt;=0,"Stockout",IF(N($H98)&lt;$S98*0.5,"Critical",IF(N($H98)&lt;=$S98,"Low",IF(N($H98)&gt;$U98,"Over top of green","OK")))))</f>
        <v/>
      </c>
      <c r="AE98" s="8" t="str">
        <f aca="false">IF($A98="","",$A98&amp;"")</f>
        <v/>
      </c>
      <c r="AF98" s="8" t="str">
        <f aca="false">IF($A98="","",SUBSTITUTE(SUBSTITUTE(SUBSTITUTE($A98&amp;"","~","~~"),"*","~*"),"?","~?"))</f>
        <v/>
      </c>
    </row>
    <row r="99" customFormat="false" ht="15" hidden="false" customHeight="false" outlineLevel="0" collapsed="false">
      <c r="A99" s="11"/>
      <c r="B99" s="11"/>
      <c r="C99" s="11"/>
      <c r="D99" s="16"/>
      <c r="E99" s="11"/>
      <c r="F99" s="11"/>
      <c r="G99" s="9"/>
      <c r="H99" s="11"/>
      <c r="I99" s="17"/>
      <c r="J99" s="18" t="str">
        <f aca="false">IF($A99="","",IF(COUNT(Usage!$C:$C)=0,"",MAX(0,SUMIFS(Usage!$C:$C,Usage!$A:$A,$AF99,Usage!$B:$B,"&gt;="&amp;(PlanDate-AduWindow),Usage!$B:$B,"&lt;"&amp;PlanDate))/AduWindow))</f>
        <v/>
      </c>
      <c r="K99" s="18" t="str">
        <f aca="false">IF($A99="","",IF(AND(ISNUMBER($I99),N($I99)&gt;=0),$I99,$J99))</f>
        <v/>
      </c>
      <c r="L99" s="19" t="str">
        <f aca="false">IF($A99="","",IF($K99="","Needs ADU",IF($K99&lt;=0,"No recent demand",IF(N($D99)&lt;=0,"Needs lead time","Planned"))))</f>
        <v/>
      </c>
      <c r="M99" s="8" t="str">
        <f aca="false">IF($A99="","",IF(ISNUMBER(MATCH($C99,Profiles!$A$2:$A$100,0)),$C99,DefaultProfile))</f>
        <v/>
      </c>
      <c r="N99" s="20" t="str">
        <f aca="false">IF($A99="","",INDEX(Profiles!$D$2:$D$100,MATCH($M99,Profiles!$A$2:$A$100,0)))</f>
        <v/>
      </c>
      <c r="O99" s="20" t="str">
        <f aca="false">IF($A99="","",INDEX(Profiles!$E$2:$E$100,MATCH($M99,Profiles!$A$2:$A$100,0)))</f>
        <v/>
      </c>
      <c r="P99" s="21" t="str">
        <f aca="false">IF($L99&lt;&gt;"Planned","",$K99*$D99*$N99*(1+$O99))</f>
        <v/>
      </c>
      <c r="Q99" s="21" t="str">
        <f aca="false">IF($L99&lt;&gt;"Planned","",$K99*$D99)</f>
        <v/>
      </c>
      <c r="R99" s="21" t="str">
        <f aca="false">IF($L99&lt;&gt;"Planned","",MAX(N($E99),$K99*$D99*$N99,$K99*N($G99)))</f>
        <v/>
      </c>
      <c r="S99" s="21" t="str">
        <f aca="false">IF($L99&lt;&gt;"Planned","",$P99)</f>
        <v/>
      </c>
      <c r="T99" s="21" t="str">
        <f aca="false">IF($L99&lt;&gt;"Planned","",$P99+$Q99)</f>
        <v/>
      </c>
      <c r="U99" s="21" t="str">
        <f aca="false">IF($L99&lt;&gt;"Planned","",$T99+$R99)</f>
        <v/>
      </c>
      <c r="V99" s="8" t="str">
        <f aca="false">IF($A99="","",SUMIFS('Open supply'!$C:$C,'Open supply'!$A:$A,$AF99))</f>
        <v/>
      </c>
      <c r="W99" s="8" t="str">
        <f aca="false">IF($A99="","",SUMIFS('Open supply'!$C:$C,'Open supply'!$A:$A,$AF99,'Open supply'!$B:$B,"&lt;"&amp;PlanDate))</f>
        <v/>
      </c>
      <c r="X99" s="8" t="str">
        <f aca="false">IF($A99="","",SUMIFS('Open demand'!$G:$G,'Open demand'!$A:$A,$AF99))</f>
        <v/>
      </c>
      <c r="Y99" s="8" t="str">
        <f aca="false">IF($L99&lt;&gt;"Planned","",N($H99)+$V99-$X99)</f>
        <v/>
      </c>
      <c r="Z99" s="19" t="str">
        <f aca="false">IF($L99&lt;&gt;"Planned","",IF($Y99&lt;=$S99,"Red",IF($Y99&lt;=$T99,"Yellow",IF($Y99&lt;=$U99,"Green","Above green"))))</f>
        <v/>
      </c>
      <c r="AA99" s="22" t="str">
        <f aca="false">IF(OR($L99&lt;&gt;"Planned",N($U99)&lt;=0),"",$Y99/$U99)</f>
        <v/>
      </c>
      <c r="AB99" s="8" t="str">
        <f aca="false">IF($L99&lt;&gt;"Planned","",IF($Y99&lt;=$T99,ROUNDUP(MAX($U99-$Y99,N($E99))/IF(N($F99)&gt;0,$F99,1)-0.000000001,0)*IF(N($F99)&gt;0,$F99,1),""))</f>
        <v/>
      </c>
      <c r="AC99" s="23" t="str">
        <f aca="false">IF(N($AB99)&gt;0,PlanDate+ROUNDUP($D99,0),"")</f>
        <v/>
      </c>
      <c r="AD99" s="19" t="str">
        <f aca="false">IF($L99&lt;&gt;"Planned","",IF(N($H99)&lt;=0,"Stockout",IF(N($H99)&lt;$S99*0.5,"Critical",IF(N($H99)&lt;=$S99,"Low",IF(N($H99)&gt;$U99,"Over top of green","OK")))))</f>
        <v/>
      </c>
      <c r="AE99" s="8" t="str">
        <f aca="false">IF($A99="","",$A99&amp;"")</f>
        <v/>
      </c>
      <c r="AF99" s="8" t="str">
        <f aca="false">IF($A99="","",SUBSTITUTE(SUBSTITUTE(SUBSTITUTE($A99&amp;"","~","~~"),"*","~*"),"?","~?"))</f>
        <v/>
      </c>
    </row>
    <row r="100" customFormat="false" ht="15" hidden="false" customHeight="false" outlineLevel="0" collapsed="false">
      <c r="A100" s="11"/>
      <c r="B100" s="11"/>
      <c r="C100" s="11"/>
      <c r="D100" s="16"/>
      <c r="E100" s="11"/>
      <c r="F100" s="11"/>
      <c r="G100" s="9"/>
      <c r="H100" s="11"/>
      <c r="I100" s="17"/>
      <c r="J100" s="18" t="str">
        <f aca="false">IF($A100="","",IF(COUNT(Usage!$C:$C)=0,"",MAX(0,SUMIFS(Usage!$C:$C,Usage!$A:$A,$AF100,Usage!$B:$B,"&gt;="&amp;(PlanDate-AduWindow),Usage!$B:$B,"&lt;"&amp;PlanDate))/AduWindow))</f>
        <v/>
      </c>
      <c r="K100" s="18" t="str">
        <f aca="false">IF($A100="","",IF(AND(ISNUMBER($I100),N($I100)&gt;=0),$I100,$J100))</f>
        <v/>
      </c>
      <c r="L100" s="19" t="str">
        <f aca="false">IF($A100="","",IF($K100="","Needs ADU",IF($K100&lt;=0,"No recent demand",IF(N($D100)&lt;=0,"Needs lead time","Planned"))))</f>
        <v/>
      </c>
      <c r="M100" s="8" t="str">
        <f aca="false">IF($A100="","",IF(ISNUMBER(MATCH($C100,Profiles!$A$2:$A$100,0)),$C100,DefaultProfile))</f>
        <v/>
      </c>
      <c r="N100" s="20" t="str">
        <f aca="false">IF($A100="","",INDEX(Profiles!$D$2:$D$100,MATCH($M100,Profiles!$A$2:$A$100,0)))</f>
        <v/>
      </c>
      <c r="O100" s="20" t="str">
        <f aca="false">IF($A100="","",INDEX(Profiles!$E$2:$E$100,MATCH($M100,Profiles!$A$2:$A$100,0)))</f>
        <v/>
      </c>
      <c r="P100" s="21" t="str">
        <f aca="false">IF($L100&lt;&gt;"Planned","",$K100*$D100*$N100*(1+$O100))</f>
        <v/>
      </c>
      <c r="Q100" s="21" t="str">
        <f aca="false">IF($L100&lt;&gt;"Planned","",$K100*$D100)</f>
        <v/>
      </c>
      <c r="R100" s="21" t="str">
        <f aca="false">IF($L100&lt;&gt;"Planned","",MAX(N($E100),$K100*$D100*$N100,$K100*N($G100)))</f>
        <v/>
      </c>
      <c r="S100" s="21" t="str">
        <f aca="false">IF($L100&lt;&gt;"Planned","",$P100)</f>
        <v/>
      </c>
      <c r="T100" s="21" t="str">
        <f aca="false">IF($L100&lt;&gt;"Planned","",$P100+$Q100)</f>
        <v/>
      </c>
      <c r="U100" s="21" t="str">
        <f aca="false">IF($L100&lt;&gt;"Planned","",$T100+$R100)</f>
        <v/>
      </c>
      <c r="V100" s="8" t="str">
        <f aca="false">IF($A100="","",SUMIFS('Open supply'!$C:$C,'Open supply'!$A:$A,$AF100))</f>
        <v/>
      </c>
      <c r="W100" s="8" t="str">
        <f aca="false">IF($A100="","",SUMIFS('Open supply'!$C:$C,'Open supply'!$A:$A,$AF100,'Open supply'!$B:$B,"&lt;"&amp;PlanDate))</f>
        <v/>
      </c>
      <c r="X100" s="8" t="str">
        <f aca="false">IF($A100="","",SUMIFS('Open demand'!$G:$G,'Open demand'!$A:$A,$AF100))</f>
        <v/>
      </c>
      <c r="Y100" s="8" t="str">
        <f aca="false">IF($L100&lt;&gt;"Planned","",N($H100)+$V100-$X100)</f>
        <v/>
      </c>
      <c r="Z100" s="19" t="str">
        <f aca="false">IF($L100&lt;&gt;"Planned","",IF($Y100&lt;=$S100,"Red",IF($Y100&lt;=$T100,"Yellow",IF($Y100&lt;=$U100,"Green","Above green"))))</f>
        <v/>
      </c>
      <c r="AA100" s="22" t="str">
        <f aca="false">IF(OR($L100&lt;&gt;"Planned",N($U100)&lt;=0),"",$Y100/$U100)</f>
        <v/>
      </c>
      <c r="AB100" s="8" t="str">
        <f aca="false">IF($L100&lt;&gt;"Planned","",IF($Y100&lt;=$T100,ROUNDUP(MAX($U100-$Y100,N($E100))/IF(N($F100)&gt;0,$F100,1)-0.000000001,0)*IF(N($F100)&gt;0,$F100,1),""))</f>
        <v/>
      </c>
      <c r="AC100" s="23" t="str">
        <f aca="false">IF(N($AB100)&gt;0,PlanDate+ROUNDUP($D100,0),"")</f>
        <v/>
      </c>
      <c r="AD100" s="19" t="str">
        <f aca="false">IF($L100&lt;&gt;"Planned","",IF(N($H100)&lt;=0,"Stockout",IF(N($H100)&lt;$S100*0.5,"Critical",IF(N($H100)&lt;=$S100,"Low",IF(N($H100)&gt;$U100,"Over top of green","OK")))))</f>
        <v/>
      </c>
      <c r="AE100" s="8" t="str">
        <f aca="false">IF($A100="","",$A100&amp;"")</f>
        <v/>
      </c>
      <c r="AF100" s="8" t="str">
        <f aca="false">IF($A100="","",SUBSTITUTE(SUBSTITUTE(SUBSTITUTE($A100&amp;"","~","~~"),"*","~*"),"?","~?"))</f>
        <v/>
      </c>
    </row>
    <row r="101" customFormat="false" ht="15" hidden="false" customHeight="false" outlineLevel="0" collapsed="false">
      <c r="A101" s="11"/>
      <c r="B101" s="11"/>
      <c r="C101" s="11"/>
      <c r="D101" s="16"/>
      <c r="E101" s="11"/>
      <c r="F101" s="11"/>
      <c r="G101" s="9"/>
      <c r="H101" s="11"/>
      <c r="I101" s="17"/>
      <c r="J101" s="18" t="str">
        <f aca="false">IF($A101="","",IF(COUNT(Usage!$C:$C)=0,"",MAX(0,SUMIFS(Usage!$C:$C,Usage!$A:$A,$AF101,Usage!$B:$B,"&gt;="&amp;(PlanDate-AduWindow),Usage!$B:$B,"&lt;"&amp;PlanDate))/AduWindow))</f>
        <v/>
      </c>
      <c r="K101" s="18" t="str">
        <f aca="false">IF($A101="","",IF(AND(ISNUMBER($I101),N($I101)&gt;=0),$I101,$J101))</f>
        <v/>
      </c>
      <c r="L101" s="19" t="str">
        <f aca="false">IF($A101="","",IF($K101="","Needs ADU",IF($K101&lt;=0,"No recent demand",IF(N($D101)&lt;=0,"Needs lead time","Planned"))))</f>
        <v/>
      </c>
      <c r="M101" s="8" t="str">
        <f aca="false">IF($A101="","",IF(ISNUMBER(MATCH($C101,Profiles!$A$2:$A$100,0)),$C101,DefaultProfile))</f>
        <v/>
      </c>
      <c r="N101" s="20" t="str">
        <f aca="false">IF($A101="","",INDEX(Profiles!$D$2:$D$100,MATCH($M101,Profiles!$A$2:$A$100,0)))</f>
        <v/>
      </c>
      <c r="O101" s="20" t="str">
        <f aca="false">IF($A101="","",INDEX(Profiles!$E$2:$E$100,MATCH($M101,Profiles!$A$2:$A$100,0)))</f>
        <v/>
      </c>
      <c r="P101" s="21" t="str">
        <f aca="false">IF($L101&lt;&gt;"Planned","",$K101*$D101*$N101*(1+$O101))</f>
        <v/>
      </c>
      <c r="Q101" s="21" t="str">
        <f aca="false">IF($L101&lt;&gt;"Planned","",$K101*$D101)</f>
        <v/>
      </c>
      <c r="R101" s="21" t="str">
        <f aca="false">IF($L101&lt;&gt;"Planned","",MAX(N($E101),$K101*$D101*$N101,$K101*N($G101)))</f>
        <v/>
      </c>
      <c r="S101" s="21" t="str">
        <f aca="false">IF($L101&lt;&gt;"Planned","",$P101)</f>
        <v/>
      </c>
      <c r="T101" s="21" t="str">
        <f aca="false">IF($L101&lt;&gt;"Planned","",$P101+$Q101)</f>
        <v/>
      </c>
      <c r="U101" s="21" t="str">
        <f aca="false">IF($L101&lt;&gt;"Planned","",$T101+$R101)</f>
        <v/>
      </c>
      <c r="V101" s="8" t="str">
        <f aca="false">IF($A101="","",SUMIFS('Open supply'!$C:$C,'Open supply'!$A:$A,$AF101))</f>
        <v/>
      </c>
      <c r="W101" s="8" t="str">
        <f aca="false">IF($A101="","",SUMIFS('Open supply'!$C:$C,'Open supply'!$A:$A,$AF101,'Open supply'!$B:$B,"&lt;"&amp;PlanDate))</f>
        <v/>
      </c>
      <c r="X101" s="8" t="str">
        <f aca="false">IF($A101="","",SUMIFS('Open demand'!$G:$G,'Open demand'!$A:$A,$AF101))</f>
        <v/>
      </c>
      <c r="Y101" s="8" t="str">
        <f aca="false">IF($L101&lt;&gt;"Planned","",N($H101)+$V101-$X101)</f>
        <v/>
      </c>
      <c r="Z101" s="19" t="str">
        <f aca="false">IF($L101&lt;&gt;"Planned","",IF($Y101&lt;=$S101,"Red",IF($Y101&lt;=$T101,"Yellow",IF($Y101&lt;=$U101,"Green","Above green"))))</f>
        <v/>
      </c>
      <c r="AA101" s="22" t="str">
        <f aca="false">IF(OR($L101&lt;&gt;"Planned",N($U101)&lt;=0),"",$Y101/$U101)</f>
        <v/>
      </c>
      <c r="AB101" s="8" t="str">
        <f aca="false">IF($L101&lt;&gt;"Planned","",IF($Y101&lt;=$T101,ROUNDUP(MAX($U101-$Y101,N($E101))/IF(N($F101)&gt;0,$F101,1)-0.000000001,0)*IF(N($F101)&gt;0,$F101,1),""))</f>
        <v/>
      </c>
      <c r="AC101" s="23" t="str">
        <f aca="false">IF(N($AB101)&gt;0,PlanDate+ROUNDUP($D101,0),"")</f>
        <v/>
      </c>
      <c r="AD101" s="19" t="str">
        <f aca="false">IF($L101&lt;&gt;"Planned","",IF(N($H101)&lt;=0,"Stockout",IF(N($H101)&lt;$S101*0.5,"Critical",IF(N($H101)&lt;=$S101,"Low",IF(N($H101)&gt;$U101,"Over top of green","OK")))))</f>
        <v/>
      </c>
      <c r="AE101" s="8" t="str">
        <f aca="false">IF($A101="","",$A101&amp;"")</f>
        <v/>
      </c>
      <c r="AF101" s="8" t="str">
        <f aca="false">IF($A101="","",SUBSTITUTE(SUBSTITUTE(SUBSTITUTE($A101&amp;"","~","~~"),"*","~*"),"?","~?"))</f>
        <v/>
      </c>
    </row>
    <row r="102" customFormat="false" ht="15" hidden="false" customHeight="false" outlineLevel="0" collapsed="false">
      <c r="A102" s="11"/>
      <c r="B102" s="11"/>
      <c r="C102" s="11"/>
      <c r="D102" s="16"/>
      <c r="E102" s="11"/>
      <c r="F102" s="11"/>
      <c r="G102" s="9"/>
      <c r="H102" s="11"/>
      <c r="I102" s="17"/>
      <c r="J102" s="18" t="str">
        <f aca="false">IF($A102="","",IF(COUNT(Usage!$C:$C)=0,"",MAX(0,SUMIFS(Usage!$C:$C,Usage!$A:$A,$AF102,Usage!$B:$B,"&gt;="&amp;(PlanDate-AduWindow),Usage!$B:$B,"&lt;"&amp;PlanDate))/AduWindow))</f>
        <v/>
      </c>
      <c r="K102" s="18" t="str">
        <f aca="false">IF($A102="","",IF(AND(ISNUMBER($I102),N($I102)&gt;=0),$I102,$J102))</f>
        <v/>
      </c>
      <c r="L102" s="19" t="str">
        <f aca="false">IF($A102="","",IF($K102="","Needs ADU",IF($K102&lt;=0,"No recent demand",IF(N($D102)&lt;=0,"Needs lead time","Planned"))))</f>
        <v/>
      </c>
      <c r="M102" s="8" t="str">
        <f aca="false">IF($A102="","",IF(ISNUMBER(MATCH($C102,Profiles!$A$2:$A$100,0)),$C102,DefaultProfile))</f>
        <v/>
      </c>
      <c r="N102" s="20" t="str">
        <f aca="false">IF($A102="","",INDEX(Profiles!$D$2:$D$100,MATCH($M102,Profiles!$A$2:$A$100,0)))</f>
        <v/>
      </c>
      <c r="O102" s="20" t="str">
        <f aca="false">IF($A102="","",INDEX(Profiles!$E$2:$E$100,MATCH($M102,Profiles!$A$2:$A$100,0)))</f>
        <v/>
      </c>
      <c r="P102" s="21" t="str">
        <f aca="false">IF($L102&lt;&gt;"Planned","",$K102*$D102*$N102*(1+$O102))</f>
        <v/>
      </c>
      <c r="Q102" s="21" t="str">
        <f aca="false">IF($L102&lt;&gt;"Planned","",$K102*$D102)</f>
        <v/>
      </c>
      <c r="R102" s="21" t="str">
        <f aca="false">IF($L102&lt;&gt;"Planned","",MAX(N($E102),$K102*$D102*$N102,$K102*N($G102)))</f>
        <v/>
      </c>
      <c r="S102" s="21" t="str">
        <f aca="false">IF($L102&lt;&gt;"Planned","",$P102)</f>
        <v/>
      </c>
      <c r="T102" s="21" t="str">
        <f aca="false">IF($L102&lt;&gt;"Planned","",$P102+$Q102)</f>
        <v/>
      </c>
      <c r="U102" s="21" t="str">
        <f aca="false">IF($L102&lt;&gt;"Planned","",$T102+$R102)</f>
        <v/>
      </c>
      <c r="V102" s="8" t="str">
        <f aca="false">IF($A102="","",SUMIFS('Open supply'!$C:$C,'Open supply'!$A:$A,$AF102))</f>
        <v/>
      </c>
      <c r="W102" s="8" t="str">
        <f aca="false">IF($A102="","",SUMIFS('Open supply'!$C:$C,'Open supply'!$A:$A,$AF102,'Open supply'!$B:$B,"&lt;"&amp;PlanDate))</f>
        <v/>
      </c>
      <c r="X102" s="8" t="str">
        <f aca="false">IF($A102="","",SUMIFS('Open demand'!$G:$G,'Open demand'!$A:$A,$AF102))</f>
        <v/>
      </c>
      <c r="Y102" s="8" t="str">
        <f aca="false">IF($L102&lt;&gt;"Planned","",N($H102)+$V102-$X102)</f>
        <v/>
      </c>
      <c r="Z102" s="19" t="str">
        <f aca="false">IF($L102&lt;&gt;"Planned","",IF($Y102&lt;=$S102,"Red",IF($Y102&lt;=$T102,"Yellow",IF($Y102&lt;=$U102,"Green","Above green"))))</f>
        <v/>
      </c>
      <c r="AA102" s="22" t="str">
        <f aca="false">IF(OR($L102&lt;&gt;"Planned",N($U102)&lt;=0),"",$Y102/$U102)</f>
        <v/>
      </c>
      <c r="AB102" s="8" t="str">
        <f aca="false">IF($L102&lt;&gt;"Planned","",IF($Y102&lt;=$T102,ROUNDUP(MAX($U102-$Y102,N($E102))/IF(N($F102)&gt;0,$F102,1)-0.000000001,0)*IF(N($F102)&gt;0,$F102,1),""))</f>
        <v/>
      </c>
      <c r="AC102" s="23" t="str">
        <f aca="false">IF(N($AB102)&gt;0,PlanDate+ROUNDUP($D102,0),"")</f>
        <v/>
      </c>
      <c r="AD102" s="19" t="str">
        <f aca="false">IF($L102&lt;&gt;"Planned","",IF(N($H102)&lt;=0,"Stockout",IF(N($H102)&lt;$S102*0.5,"Critical",IF(N($H102)&lt;=$S102,"Low",IF(N($H102)&gt;$U102,"Over top of green","OK")))))</f>
        <v/>
      </c>
      <c r="AE102" s="8" t="str">
        <f aca="false">IF($A102="","",$A102&amp;"")</f>
        <v/>
      </c>
      <c r="AF102" s="8" t="str">
        <f aca="false">IF($A102="","",SUBSTITUTE(SUBSTITUTE(SUBSTITUTE($A102&amp;"","~","~~"),"*","~*"),"?","~?"))</f>
        <v/>
      </c>
    </row>
    <row r="103" customFormat="false" ht="15" hidden="false" customHeight="false" outlineLevel="0" collapsed="false">
      <c r="A103" s="11"/>
      <c r="B103" s="11"/>
      <c r="C103" s="11"/>
      <c r="D103" s="16"/>
      <c r="E103" s="11"/>
      <c r="F103" s="11"/>
      <c r="G103" s="9"/>
      <c r="H103" s="11"/>
      <c r="I103" s="17"/>
      <c r="J103" s="18" t="str">
        <f aca="false">IF($A103="","",IF(COUNT(Usage!$C:$C)=0,"",MAX(0,SUMIFS(Usage!$C:$C,Usage!$A:$A,$AF103,Usage!$B:$B,"&gt;="&amp;(PlanDate-AduWindow),Usage!$B:$B,"&lt;"&amp;PlanDate))/AduWindow))</f>
        <v/>
      </c>
      <c r="K103" s="18" t="str">
        <f aca="false">IF($A103="","",IF(AND(ISNUMBER($I103),N($I103)&gt;=0),$I103,$J103))</f>
        <v/>
      </c>
      <c r="L103" s="19" t="str">
        <f aca="false">IF($A103="","",IF($K103="","Needs ADU",IF($K103&lt;=0,"No recent demand",IF(N($D103)&lt;=0,"Needs lead time","Planned"))))</f>
        <v/>
      </c>
      <c r="M103" s="8" t="str">
        <f aca="false">IF($A103="","",IF(ISNUMBER(MATCH($C103,Profiles!$A$2:$A$100,0)),$C103,DefaultProfile))</f>
        <v/>
      </c>
      <c r="N103" s="20" t="str">
        <f aca="false">IF($A103="","",INDEX(Profiles!$D$2:$D$100,MATCH($M103,Profiles!$A$2:$A$100,0)))</f>
        <v/>
      </c>
      <c r="O103" s="20" t="str">
        <f aca="false">IF($A103="","",INDEX(Profiles!$E$2:$E$100,MATCH($M103,Profiles!$A$2:$A$100,0)))</f>
        <v/>
      </c>
      <c r="P103" s="21" t="str">
        <f aca="false">IF($L103&lt;&gt;"Planned","",$K103*$D103*$N103*(1+$O103))</f>
        <v/>
      </c>
      <c r="Q103" s="21" t="str">
        <f aca="false">IF($L103&lt;&gt;"Planned","",$K103*$D103)</f>
        <v/>
      </c>
      <c r="R103" s="21" t="str">
        <f aca="false">IF($L103&lt;&gt;"Planned","",MAX(N($E103),$K103*$D103*$N103,$K103*N($G103)))</f>
        <v/>
      </c>
      <c r="S103" s="21" t="str">
        <f aca="false">IF($L103&lt;&gt;"Planned","",$P103)</f>
        <v/>
      </c>
      <c r="T103" s="21" t="str">
        <f aca="false">IF($L103&lt;&gt;"Planned","",$P103+$Q103)</f>
        <v/>
      </c>
      <c r="U103" s="21" t="str">
        <f aca="false">IF($L103&lt;&gt;"Planned","",$T103+$R103)</f>
        <v/>
      </c>
      <c r="V103" s="8" t="str">
        <f aca="false">IF($A103="","",SUMIFS('Open supply'!$C:$C,'Open supply'!$A:$A,$AF103))</f>
        <v/>
      </c>
      <c r="W103" s="8" t="str">
        <f aca="false">IF($A103="","",SUMIFS('Open supply'!$C:$C,'Open supply'!$A:$A,$AF103,'Open supply'!$B:$B,"&lt;"&amp;PlanDate))</f>
        <v/>
      </c>
      <c r="X103" s="8" t="str">
        <f aca="false">IF($A103="","",SUMIFS('Open demand'!$G:$G,'Open demand'!$A:$A,$AF103))</f>
        <v/>
      </c>
      <c r="Y103" s="8" t="str">
        <f aca="false">IF($L103&lt;&gt;"Planned","",N($H103)+$V103-$X103)</f>
        <v/>
      </c>
      <c r="Z103" s="19" t="str">
        <f aca="false">IF($L103&lt;&gt;"Planned","",IF($Y103&lt;=$S103,"Red",IF($Y103&lt;=$T103,"Yellow",IF($Y103&lt;=$U103,"Green","Above green"))))</f>
        <v/>
      </c>
      <c r="AA103" s="22" t="str">
        <f aca="false">IF(OR($L103&lt;&gt;"Planned",N($U103)&lt;=0),"",$Y103/$U103)</f>
        <v/>
      </c>
      <c r="AB103" s="8" t="str">
        <f aca="false">IF($L103&lt;&gt;"Planned","",IF($Y103&lt;=$T103,ROUNDUP(MAX($U103-$Y103,N($E103))/IF(N($F103)&gt;0,$F103,1)-0.000000001,0)*IF(N($F103)&gt;0,$F103,1),""))</f>
        <v/>
      </c>
      <c r="AC103" s="23" t="str">
        <f aca="false">IF(N($AB103)&gt;0,PlanDate+ROUNDUP($D103,0),"")</f>
        <v/>
      </c>
      <c r="AD103" s="19" t="str">
        <f aca="false">IF($L103&lt;&gt;"Planned","",IF(N($H103)&lt;=0,"Stockout",IF(N($H103)&lt;$S103*0.5,"Critical",IF(N($H103)&lt;=$S103,"Low",IF(N($H103)&gt;$U103,"Over top of green","OK")))))</f>
        <v/>
      </c>
      <c r="AE103" s="8" t="str">
        <f aca="false">IF($A103="","",$A103&amp;"")</f>
        <v/>
      </c>
      <c r="AF103" s="8" t="str">
        <f aca="false">IF($A103="","",SUBSTITUTE(SUBSTITUTE(SUBSTITUTE($A103&amp;"","~","~~"),"*","~*"),"?","~?"))</f>
        <v/>
      </c>
    </row>
    <row r="104" customFormat="false" ht="15" hidden="false" customHeight="false" outlineLevel="0" collapsed="false">
      <c r="A104" s="11"/>
      <c r="B104" s="11"/>
      <c r="C104" s="11"/>
      <c r="D104" s="16"/>
      <c r="E104" s="11"/>
      <c r="F104" s="11"/>
      <c r="G104" s="9"/>
      <c r="H104" s="11"/>
      <c r="I104" s="17"/>
      <c r="J104" s="18" t="str">
        <f aca="false">IF($A104="","",IF(COUNT(Usage!$C:$C)=0,"",MAX(0,SUMIFS(Usage!$C:$C,Usage!$A:$A,$AF104,Usage!$B:$B,"&gt;="&amp;(PlanDate-AduWindow),Usage!$B:$B,"&lt;"&amp;PlanDate))/AduWindow))</f>
        <v/>
      </c>
      <c r="K104" s="18" t="str">
        <f aca="false">IF($A104="","",IF(AND(ISNUMBER($I104),N($I104)&gt;=0),$I104,$J104))</f>
        <v/>
      </c>
      <c r="L104" s="19" t="str">
        <f aca="false">IF($A104="","",IF($K104="","Needs ADU",IF($K104&lt;=0,"No recent demand",IF(N($D104)&lt;=0,"Needs lead time","Planned"))))</f>
        <v/>
      </c>
      <c r="M104" s="8" t="str">
        <f aca="false">IF($A104="","",IF(ISNUMBER(MATCH($C104,Profiles!$A$2:$A$100,0)),$C104,DefaultProfile))</f>
        <v/>
      </c>
      <c r="N104" s="20" t="str">
        <f aca="false">IF($A104="","",INDEX(Profiles!$D$2:$D$100,MATCH($M104,Profiles!$A$2:$A$100,0)))</f>
        <v/>
      </c>
      <c r="O104" s="20" t="str">
        <f aca="false">IF($A104="","",INDEX(Profiles!$E$2:$E$100,MATCH($M104,Profiles!$A$2:$A$100,0)))</f>
        <v/>
      </c>
      <c r="P104" s="21" t="str">
        <f aca="false">IF($L104&lt;&gt;"Planned","",$K104*$D104*$N104*(1+$O104))</f>
        <v/>
      </c>
      <c r="Q104" s="21" t="str">
        <f aca="false">IF($L104&lt;&gt;"Planned","",$K104*$D104)</f>
        <v/>
      </c>
      <c r="R104" s="21" t="str">
        <f aca="false">IF($L104&lt;&gt;"Planned","",MAX(N($E104),$K104*$D104*$N104,$K104*N($G104)))</f>
        <v/>
      </c>
      <c r="S104" s="21" t="str">
        <f aca="false">IF($L104&lt;&gt;"Planned","",$P104)</f>
        <v/>
      </c>
      <c r="T104" s="21" t="str">
        <f aca="false">IF($L104&lt;&gt;"Planned","",$P104+$Q104)</f>
        <v/>
      </c>
      <c r="U104" s="21" t="str">
        <f aca="false">IF($L104&lt;&gt;"Planned","",$T104+$R104)</f>
        <v/>
      </c>
      <c r="V104" s="8" t="str">
        <f aca="false">IF($A104="","",SUMIFS('Open supply'!$C:$C,'Open supply'!$A:$A,$AF104))</f>
        <v/>
      </c>
      <c r="W104" s="8" t="str">
        <f aca="false">IF($A104="","",SUMIFS('Open supply'!$C:$C,'Open supply'!$A:$A,$AF104,'Open supply'!$B:$B,"&lt;"&amp;PlanDate))</f>
        <v/>
      </c>
      <c r="X104" s="8" t="str">
        <f aca="false">IF($A104="","",SUMIFS('Open demand'!$G:$G,'Open demand'!$A:$A,$AF104))</f>
        <v/>
      </c>
      <c r="Y104" s="8" t="str">
        <f aca="false">IF($L104&lt;&gt;"Planned","",N($H104)+$V104-$X104)</f>
        <v/>
      </c>
      <c r="Z104" s="19" t="str">
        <f aca="false">IF($L104&lt;&gt;"Planned","",IF($Y104&lt;=$S104,"Red",IF($Y104&lt;=$T104,"Yellow",IF($Y104&lt;=$U104,"Green","Above green"))))</f>
        <v/>
      </c>
      <c r="AA104" s="22" t="str">
        <f aca="false">IF(OR($L104&lt;&gt;"Planned",N($U104)&lt;=0),"",$Y104/$U104)</f>
        <v/>
      </c>
      <c r="AB104" s="8" t="str">
        <f aca="false">IF($L104&lt;&gt;"Planned","",IF($Y104&lt;=$T104,ROUNDUP(MAX($U104-$Y104,N($E104))/IF(N($F104)&gt;0,$F104,1)-0.000000001,0)*IF(N($F104)&gt;0,$F104,1),""))</f>
        <v/>
      </c>
      <c r="AC104" s="23" t="str">
        <f aca="false">IF(N($AB104)&gt;0,PlanDate+ROUNDUP($D104,0),"")</f>
        <v/>
      </c>
      <c r="AD104" s="19" t="str">
        <f aca="false">IF($L104&lt;&gt;"Planned","",IF(N($H104)&lt;=0,"Stockout",IF(N($H104)&lt;$S104*0.5,"Critical",IF(N($H104)&lt;=$S104,"Low",IF(N($H104)&gt;$U104,"Over top of green","OK")))))</f>
        <v/>
      </c>
      <c r="AE104" s="8" t="str">
        <f aca="false">IF($A104="","",$A104&amp;"")</f>
        <v/>
      </c>
      <c r="AF104" s="8" t="str">
        <f aca="false">IF($A104="","",SUBSTITUTE(SUBSTITUTE(SUBSTITUTE($A104&amp;"","~","~~"),"*","~*"),"?","~?"))</f>
        <v/>
      </c>
    </row>
    <row r="105" customFormat="false" ht="15" hidden="false" customHeight="false" outlineLevel="0" collapsed="false">
      <c r="A105" s="11"/>
      <c r="B105" s="11"/>
      <c r="C105" s="11"/>
      <c r="D105" s="16"/>
      <c r="E105" s="11"/>
      <c r="F105" s="11"/>
      <c r="G105" s="9"/>
      <c r="H105" s="11"/>
      <c r="I105" s="17"/>
      <c r="J105" s="18" t="str">
        <f aca="false">IF($A105="","",IF(COUNT(Usage!$C:$C)=0,"",MAX(0,SUMIFS(Usage!$C:$C,Usage!$A:$A,$AF105,Usage!$B:$B,"&gt;="&amp;(PlanDate-AduWindow),Usage!$B:$B,"&lt;"&amp;PlanDate))/AduWindow))</f>
        <v/>
      </c>
      <c r="K105" s="18" t="str">
        <f aca="false">IF($A105="","",IF(AND(ISNUMBER($I105),N($I105)&gt;=0),$I105,$J105))</f>
        <v/>
      </c>
      <c r="L105" s="19" t="str">
        <f aca="false">IF($A105="","",IF($K105="","Needs ADU",IF($K105&lt;=0,"No recent demand",IF(N($D105)&lt;=0,"Needs lead time","Planned"))))</f>
        <v/>
      </c>
      <c r="M105" s="8" t="str">
        <f aca="false">IF($A105="","",IF(ISNUMBER(MATCH($C105,Profiles!$A$2:$A$100,0)),$C105,DefaultProfile))</f>
        <v/>
      </c>
      <c r="N105" s="20" t="str">
        <f aca="false">IF($A105="","",INDEX(Profiles!$D$2:$D$100,MATCH($M105,Profiles!$A$2:$A$100,0)))</f>
        <v/>
      </c>
      <c r="O105" s="20" t="str">
        <f aca="false">IF($A105="","",INDEX(Profiles!$E$2:$E$100,MATCH($M105,Profiles!$A$2:$A$100,0)))</f>
        <v/>
      </c>
      <c r="P105" s="21" t="str">
        <f aca="false">IF($L105&lt;&gt;"Planned","",$K105*$D105*$N105*(1+$O105))</f>
        <v/>
      </c>
      <c r="Q105" s="21" t="str">
        <f aca="false">IF($L105&lt;&gt;"Planned","",$K105*$D105)</f>
        <v/>
      </c>
      <c r="R105" s="21" t="str">
        <f aca="false">IF($L105&lt;&gt;"Planned","",MAX(N($E105),$K105*$D105*$N105,$K105*N($G105)))</f>
        <v/>
      </c>
      <c r="S105" s="21" t="str">
        <f aca="false">IF($L105&lt;&gt;"Planned","",$P105)</f>
        <v/>
      </c>
      <c r="T105" s="21" t="str">
        <f aca="false">IF($L105&lt;&gt;"Planned","",$P105+$Q105)</f>
        <v/>
      </c>
      <c r="U105" s="21" t="str">
        <f aca="false">IF($L105&lt;&gt;"Planned","",$T105+$R105)</f>
        <v/>
      </c>
      <c r="V105" s="8" t="str">
        <f aca="false">IF($A105="","",SUMIFS('Open supply'!$C:$C,'Open supply'!$A:$A,$AF105))</f>
        <v/>
      </c>
      <c r="W105" s="8" t="str">
        <f aca="false">IF($A105="","",SUMIFS('Open supply'!$C:$C,'Open supply'!$A:$A,$AF105,'Open supply'!$B:$B,"&lt;"&amp;PlanDate))</f>
        <v/>
      </c>
      <c r="X105" s="8" t="str">
        <f aca="false">IF($A105="","",SUMIFS('Open demand'!$G:$G,'Open demand'!$A:$A,$AF105))</f>
        <v/>
      </c>
      <c r="Y105" s="8" t="str">
        <f aca="false">IF($L105&lt;&gt;"Planned","",N($H105)+$V105-$X105)</f>
        <v/>
      </c>
      <c r="Z105" s="19" t="str">
        <f aca="false">IF($L105&lt;&gt;"Planned","",IF($Y105&lt;=$S105,"Red",IF($Y105&lt;=$T105,"Yellow",IF($Y105&lt;=$U105,"Green","Above green"))))</f>
        <v/>
      </c>
      <c r="AA105" s="22" t="str">
        <f aca="false">IF(OR($L105&lt;&gt;"Planned",N($U105)&lt;=0),"",$Y105/$U105)</f>
        <v/>
      </c>
      <c r="AB105" s="8" t="str">
        <f aca="false">IF($L105&lt;&gt;"Planned","",IF($Y105&lt;=$T105,ROUNDUP(MAX($U105-$Y105,N($E105))/IF(N($F105)&gt;0,$F105,1)-0.000000001,0)*IF(N($F105)&gt;0,$F105,1),""))</f>
        <v/>
      </c>
      <c r="AC105" s="23" t="str">
        <f aca="false">IF(N($AB105)&gt;0,PlanDate+ROUNDUP($D105,0),"")</f>
        <v/>
      </c>
      <c r="AD105" s="19" t="str">
        <f aca="false">IF($L105&lt;&gt;"Planned","",IF(N($H105)&lt;=0,"Stockout",IF(N($H105)&lt;$S105*0.5,"Critical",IF(N($H105)&lt;=$S105,"Low",IF(N($H105)&gt;$U105,"Over top of green","OK")))))</f>
        <v/>
      </c>
      <c r="AE105" s="8" t="str">
        <f aca="false">IF($A105="","",$A105&amp;"")</f>
        <v/>
      </c>
      <c r="AF105" s="8" t="str">
        <f aca="false">IF($A105="","",SUBSTITUTE(SUBSTITUTE(SUBSTITUTE($A105&amp;"","~","~~"),"*","~*"),"?","~?"))</f>
        <v/>
      </c>
    </row>
    <row r="106" customFormat="false" ht="15" hidden="false" customHeight="false" outlineLevel="0" collapsed="false">
      <c r="A106" s="11"/>
      <c r="B106" s="11"/>
      <c r="C106" s="11"/>
      <c r="D106" s="16"/>
      <c r="E106" s="11"/>
      <c r="F106" s="11"/>
      <c r="G106" s="9"/>
      <c r="H106" s="11"/>
      <c r="I106" s="17"/>
      <c r="J106" s="18" t="str">
        <f aca="false">IF($A106="","",IF(COUNT(Usage!$C:$C)=0,"",MAX(0,SUMIFS(Usage!$C:$C,Usage!$A:$A,$AF106,Usage!$B:$B,"&gt;="&amp;(PlanDate-AduWindow),Usage!$B:$B,"&lt;"&amp;PlanDate))/AduWindow))</f>
        <v/>
      </c>
      <c r="K106" s="18" t="str">
        <f aca="false">IF($A106="","",IF(AND(ISNUMBER($I106),N($I106)&gt;=0),$I106,$J106))</f>
        <v/>
      </c>
      <c r="L106" s="19" t="str">
        <f aca="false">IF($A106="","",IF($K106="","Needs ADU",IF($K106&lt;=0,"No recent demand",IF(N($D106)&lt;=0,"Needs lead time","Planned"))))</f>
        <v/>
      </c>
      <c r="M106" s="8" t="str">
        <f aca="false">IF($A106="","",IF(ISNUMBER(MATCH($C106,Profiles!$A$2:$A$100,0)),$C106,DefaultProfile))</f>
        <v/>
      </c>
      <c r="N106" s="20" t="str">
        <f aca="false">IF($A106="","",INDEX(Profiles!$D$2:$D$100,MATCH($M106,Profiles!$A$2:$A$100,0)))</f>
        <v/>
      </c>
      <c r="O106" s="20" t="str">
        <f aca="false">IF($A106="","",INDEX(Profiles!$E$2:$E$100,MATCH($M106,Profiles!$A$2:$A$100,0)))</f>
        <v/>
      </c>
      <c r="P106" s="21" t="str">
        <f aca="false">IF($L106&lt;&gt;"Planned","",$K106*$D106*$N106*(1+$O106))</f>
        <v/>
      </c>
      <c r="Q106" s="21" t="str">
        <f aca="false">IF($L106&lt;&gt;"Planned","",$K106*$D106)</f>
        <v/>
      </c>
      <c r="R106" s="21" t="str">
        <f aca="false">IF($L106&lt;&gt;"Planned","",MAX(N($E106),$K106*$D106*$N106,$K106*N($G106)))</f>
        <v/>
      </c>
      <c r="S106" s="21" t="str">
        <f aca="false">IF($L106&lt;&gt;"Planned","",$P106)</f>
        <v/>
      </c>
      <c r="T106" s="21" t="str">
        <f aca="false">IF($L106&lt;&gt;"Planned","",$P106+$Q106)</f>
        <v/>
      </c>
      <c r="U106" s="21" t="str">
        <f aca="false">IF($L106&lt;&gt;"Planned","",$T106+$R106)</f>
        <v/>
      </c>
      <c r="V106" s="8" t="str">
        <f aca="false">IF($A106="","",SUMIFS('Open supply'!$C:$C,'Open supply'!$A:$A,$AF106))</f>
        <v/>
      </c>
      <c r="W106" s="8" t="str">
        <f aca="false">IF($A106="","",SUMIFS('Open supply'!$C:$C,'Open supply'!$A:$A,$AF106,'Open supply'!$B:$B,"&lt;"&amp;PlanDate))</f>
        <v/>
      </c>
      <c r="X106" s="8" t="str">
        <f aca="false">IF($A106="","",SUMIFS('Open demand'!$G:$G,'Open demand'!$A:$A,$AF106))</f>
        <v/>
      </c>
      <c r="Y106" s="8" t="str">
        <f aca="false">IF($L106&lt;&gt;"Planned","",N($H106)+$V106-$X106)</f>
        <v/>
      </c>
      <c r="Z106" s="19" t="str">
        <f aca="false">IF($L106&lt;&gt;"Planned","",IF($Y106&lt;=$S106,"Red",IF($Y106&lt;=$T106,"Yellow",IF($Y106&lt;=$U106,"Green","Above green"))))</f>
        <v/>
      </c>
      <c r="AA106" s="22" t="str">
        <f aca="false">IF(OR($L106&lt;&gt;"Planned",N($U106)&lt;=0),"",$Y106/$U106)</f>
        <v/>
      </c>
      <c r="AB106" s="8" t="str">
        <f aca="false">IF($L106&lt;&gt;"Planned","",IF($Y106&lt;=$T106,ROUNDUP(MAX($U106-$Y106,N($E106))/IF(N($F106)&gt;0,$F106,1)-0.000000001,0)*IF(N($F106)&gt;0,$F106,1),""))</f>
        <v/>
      </c>
      <c r="AC106" s="23" t="str">
        <f aca="false">IF(N($AB106)&gt;0,PlanDate+ROUNDUP($D106,0),"")</f>
        <v/>
      </c>
      <c r="AD106" s="19" t="str">
        <f aca="false">IF($L106&lt;&gt;"Planned","",IF(N($H106)&lt;=0,"Stockout",IF(N($H106)&lt;$S106*0.5,"Critical",IF(N($H106)&lt;=$S106,"Low",IF(N($H106)&gt;$U106,"Over top of green","OK")))))</f>
        <v/>
      </c>
      <c r="AE106" s="8" t="str">
        <f aca="false">IF($A106="","",$A106&amp;"")</f>
        <v/>
      </c>
      <c r="AF106" s="8" t="str">
        <f aca="false">IF($A106="","",SUBSTITUTE(SUBSTITUTE(SUBSTITUTE($A106&amp;"","~","~~"),"*","~*"),"?","~?"))</f>
        <v/>
      </c>
    </row>
    <row r="107" customFormat="false" ht="15" hidden="false" customHeight="false" outlineLevel="0" collapsed="false">
      <c r="A107" s="11"/>
      <c r="B107" s="11"/>
      <c r="C107" s="11"/>
      <c r="D107" s="16"/>
      <c r="E107" s="11"/>
      <c r="F107" s="11"/>
      <c r="G107" s="9"/>
      <c r="H107" s="11"/>
      <c r="I107" s="17"/>
      <c r="J107" s="18" t="str">
        <f aca="false">IF($A107="","",IF(COUNT(Usage!$C:$C)=0,"",MAX(0,SUMIFS(Usage!$C:$C,Usage!$A:$A,$AF107,Usage!$B:$B,"&gt;="&amp;(PlanDate-AduWindow),Usage!$B:$B,"&lt;"&amp;PlanDate))/AduWindow))</f>
        <v/>
      </c>
      <c r="K107" s="18" t="str">
        <f aca="false">IF($A107="","",IF(AND(ISNUMBER($I107),N($I107)&gt;=0),$I107,$J107))</f>
        <v/>
      </c>
      <c r="L107" s="19" t="str">
        <f aca="false">IF($A107="","",IF($K107="","Needs ADU",IF($K107&lt;=0,"No recent demand",IF(N($D107)&lt;=0,"Needs lead time","Planned"))))</f>
        <v/>
      </c>
      <c r="M107" s="8" t="str">
        <f aca="false">IF($A107="","",IF(ISNUMBER(MATCH($C107,Profiles!$A$2:$A$100,0)),$C107,DefaultProfile))</f>
        <v/>
      </c>
      <c r="N107" s="20" t="str">
        <f aca="false">IF($A107="","",INDEX(Profiles!$D$2:$D$100,MATCH($M107,Profiles!$A$2:$A$100,0)))</f>
        <v/>
      </c>
      <c r="O107" s="20" t="str">
        <f aca="false">IF($A107="","",INDEX(Profiles!$E$2:$E$100,MATCH($M107,Profiles!$A$2:$A$100,0)))</f>
        <v/>
      </c>
      <c r="P107" s="21" t="str">
        <f aca="false">IF($L107&lt;&gt;"Planned","",$K107*$D107*$N107*(1+$O107))</f>
        <v/>
      </c>
      <c r="Q107" s="21" t="str">
        <f aca="false">IF($L107&lt;&gt;"Planned","",$K107*$D107)</f>
        <v/>
      </c>
      <c r="R107" s="21" t="str">
        <f aca="false">IF($L107&lt;&gt;"Planned","",MAX(N($E107),$K107*$D107*$N107,$K107*N($G107)))</f>
        <v/>
      </c>
      <c r="S107" s="21" t="str">
        <f aca="false">IF($L107&lt;&gt;"Planned","",$P107)</f>
        <v/>
      </c>
      <c r="T107" s="21" t="str">
        <f aca="false">IF($L107&lt;&gt;"Planned","",$P107+$Q107)</f>
        <v/>
      </c>
      <c r="U107" s="21" t="str">
        <f aca="false">IF($L107&lt;&gt;"Planned","",$T107+$R107)</f>
        <v/>
      </c>
      <c r="V107" s="8" t="str">
        <f aca="false">IF($A107="","",SUMIFS('Open supply'!$C:$C,'Open supply'!$A:$A,$AF107))</f>
        <v/>
      </c>
      <c r="W107" s="8" t="str">
        <f aca="false">IF($A107="","",SUMIFS('Open supply'!$C:$C,'Open supply'!$A:$A,$AF107,'Open supply'!$B:$B,"&lt;"&amp;PlanDate))</f>
        <v/>
      </c>
      <c r="X107" s="8" t="str">
        <f aca="false">IF($A107="","",SUMIFS('Open demand'!$G:$G,'Open demand'!$A:$A,$AF107))</f>
        <v/>
      </c>
      <c r="Y107" s="8" t="str">
        <f aca="false">IF($L107&lt;&gt;"Planned","",N($H107)+$V107-$X107)</f>
        <v/>
      </c>
      <c r="Z107" s="19" t="str">
        <f aca="false">IF($L107&lt;&gt;"Planned","",IF($Y107&lt;=$S107,"Red",IF($Y107&lt;=$T107,"Yellow",IF($Y107&lt;=$U107,"Green","Above green"))))</f>
        <v/>
      </c>
      <c r="AA107" s="22" t="str">
        <f aca="false">IF(OR($L107&lt;&gt;"Planned",N($U107)&lt;=0),"",$Y107/$U107)</f>
        <v/>
      </c>
      <c r="AB107" s="8" t="str">
        <f aca="false">IF($L107&lt;&gt;"Planned","",IF($Y107&lt;=$T107,ROUNDUP(MAX($U107-$Y107,N($E107))/IF(N($F107)&gt;0,$F107,1)-0.000000001,0)*IF(N($F107)&gt;0,$F107,1),""))</f>
        <v/>
      </c>
      <c r="AC107" s="23" t="str">
        <f aca="false">IF(N($AB107)&gt;0,PlanDate+ROUNDUP($D107,0),"")</f>
        <v/>
      </c>
      <c r="AD107" s="19" t="str">
        <f aca="false">IF($L107&lt;&gt;"Planned","",IF(N($H107)&lt;=0,"Stockout",IF(N($H107)&lt;$S107*0.5,"Critical",IF(N($H107)&lt;=$S107,"Low",IF(N($H107)&gt;$U107,"Over top of green","OK")))))</f>
        <v/>
      </c>
      <c r="AE107" s="8" t="str">
        <f aca="false">IF($A107="","",$A107&amp;"")</f>
        <v/>
      </c>
      <c r="AF107" s="8" t="str">
        <f aca="false">IF($A107="","",SUBSTITUTE(SUBSTITUTE(SUBSTITUTE($A107&amp;"","~","~~"),"*","~*"),"?","~?"))</f>
        <v/>
      </c>
    </row>
    <row r="108" customFormat="false" ht="15" hidden="false" customHeight="false" outlineLevel="0" collapsed="false">
      <c r="A108" s="11"/>
      <c r="B108" s="11"/>
      <c r="C108" s="11"/>
      <c r="D108" s="16"/>
      <c r="E108" s="11"/>
      <c r="F108" s="11"/>
      <c r="G108" s="9"/>
      <c r="H108" s="11"/>
      <c r="I108" s="17"/>
      <c r="J108" s="18" t="str">
        <f aca="false">IF($A108="","",IF(COUNT(Usage!$C:$C)=0,"",MAX(0,SUMIFS(Usage!$C:$C,Usage!$A:$A,$AF108,Usage!$B:$B,"&gt;="&amp;(PlanDate-AduWindow),Usage!$B:$B,"&lt;"&amp;PlanDate))/AduWindow))</f>
        <v/>
      </c>
      <c r="K108" s="18" t="str">
        <f aca="false">IF($A108="","",IF(AND(ISNUMBER($I108),N($I108)&gt;=0),$I108,$J108))</f>
        <v/>
      </c>
      <c r="L108" s="19" t="str">
        <f aca="false">IF($A108="","",IF($K108="","Needs ADU",IF($K108&lt;=0,"No recent demand",IF(N($D108)&lt;=0,"Needs lead time","Planned"))))</f>
        <v/>
      </c>
      <c r="M108" s="8" t="str">
        <f aca="false">IF($A108="","",IF(ISNUMBER(MATCH($C108,Profiles!$A$2:$A$100,0)),$C108,DefaultProfile))</f>
        <v/>
      </c>
      <c r="N108" s="20" t="str">
        <f aca="false">IF($A108="","",INDEX(Profiles!$D$2:$D$100,MATCH($M108,Profiles!$A$2:$A$100,0)))</f>
        <v/>
      </c>
      <c r="O108" s="20" t="str">
        <f aca="false">IF($A108="","",INDEX(Profiles!$E$2:$E$100,MATCH($M108,Profiles!$A$2:$A$100,0)))</f>
        <v/>
      </c>
      <c r="P108" s="21" t="str">
        <f aca="false">IF($L108&lt;&gt;"Planned","",$K108*$D108*$N108*(1+$O108))</f>
        <v/>
      </c>
      <c r="Q108" s="21" t="str">
        <f aca="false">IF($L108&lt;&gt;"Planned","",$K108*$D108)</f>
        <v/>
      </c>
      <c r="R108" s="21" t="str">
        <f aca="false">IF($L108&lt;&gt;"Planned","",MAX(N($E108),$K108*$D108*$N108,$K108*N($G108)))</f>
        <v/>
      </c>
      <c r="S108" s="21" t="str">
        <f aca="false">IF($L108&lt;&gt;"Planned","",$P108)</f>
        <v/>
      </c>
      <c r="T108" s="21" t="str">
        <f aca="false">IF($L108&lt;&gt;"Planned","",$P108+$Q108)</f>
        <v/>
      </c>
      <c r="U108" s="21" t="str">
        <f aca="false">IF($L108&lt;&gt;"Planned","",$T108+$R108)</f>
        <v/>
      </c>
      <c r="V108" s="8" t="str">
        <f aca="false">IF($A108="","",SUMIFS('Open supply'!$C:$C,'Open supply'!$A:$A,$AF108))</f>
        <v/>
      </c>
      <c r="W108" s="8" t="str">
        <f aca="false">IF($A108="","",SUMIFS('Open supply'!$C:$C,'Open supply'!$A:$A,$AF108,'Open supply'!$B:$B,"&lt;"&amp;PlanDate))</f>
        <v/>
      </c>
      <c r="X108" s="8" t="str">
        <f aca="false">IF($A108="","",SUMIFS('Open demand'!$G:$G,'Open demand'!$A:$A,$AF108))</f>
        <v/>
      </c>
      <c r="Y108" s="8" t="str">
        <f aca="false">IF($L108&lt;&gt;"Planned","",N($H108)+$V108-$X108)</f>
        <v/>
      </c>
      <c r="Z108" s="19" t="str">
        <f aca="false">IF($L108&lt;&gt;"Planned","",IF($Y108&lt;=$S108,"Red",IF($Y108&lt;=$T108,"Yellow",IF($Y108&lt;=$U108,"Green","Above green"))))</f>
        <v/>
      </c>
      <c r="AA108" s="22" t="str">
        <f aca="false">IF(OR($L108&lt;&gt;"Planned",N($U108)&lt;=0),"",$Y108/$U108)</f>
        <v/>
      </c>
      <c r="AB108" s="8" t="str">
        <f aca="false">IF($L108&lt;&gt;"Planned","",IF($Y108&lt;=$T108,ROUNDUP(MAX($U108-$Y108,N($E108))/IF(N($F108)&gt;0,$F108,1)-0.000000001,0)*IF(N($F108)&gt;0,$F108,1),""))</f>
        <v/>
      </c>
      <c r="AC108" s="23" t="str">
        <f aca="false">IF(N($AB108)&gt;0,PlanDate+ROUNDUP($D108,0),"")</f>
        <v/>
      </c>
      <c r="AD108" s="19" t="str">
        <f aca="false">IF($L108&lt;&gt;"Planned","",IF(N($H108)&lt;=0,"Stockout",IF(N($H108)&lt;$S108*0.5,"Critical",IF(N($H108)&lt;=$S108,"Low",IF(N($H108)&gt;$U108,"Over top of green","OK")))))</f>
        <v/>
      </c>
      <c r="AE108" s="8" t="str">
        <f aca="false">IF($A108="","",$A108&amp;"")</f>
        <v/>
      </c>
      <c r="AF108" s="8" t="str">
        <f aca="false">IF($A108="","",SUBSTITUTE(SUBSTITUTE(SUBSTITUTE($A108&amp;"","~","~~"),"*","~*"),"?","~?"))</f>
        <v/>
      </c>
    </row>
    <row r="109" customFormat="false" ht="15" hidden="false" customHeight="false" outlineLevel="0" collapsed="false">
      <c r="A109" s="11"/>
      <c r="B109" s="11"/>
      <c r="C109" s="11"/>
      <c r="D109" s="16"/>
      <c r="E109" s="11"/>
      <c r="F109" s="11"/>
      <c r="G109" s="9"/>
      <c r="H109" s="11"/>
      <c r="I109" s="17"/>
      <c r="J109" s="18" t="str">
        <f aca="false">IF($A109="","",IF(COUNT(Usage!$C:$C)=0,"",MAX(0,SUMIFS(Usage!$C:$C,Usage!$A:$A,$AF109,Usage!$B:$B,"&gt;="&amp;(PlanDate-AduWindow),Usage!$B:$B,"&lt;"&amp;PlanDate))/AduWindow))</f>
        <v/>
      </c>
      <c r="K109" s="18" t="str">
        <f aca="false">IF($A109="","",IF(AND(ISNUMBER($I109),N($I109)&gt;=0),$I109,$J109))</f>
        <v/>
      </c>
      <c r="L109" s="19" t="str">
        <f aca="false">IF($A109="","",IF($K109="","Needs ADU",IF($K109&lt;=0,"No recent demand",IF(N($D109)&lt;=0,"Needs lead time","Planned"))))</f>
        <v/>
      </c>
      <c r="M109" s="8" t="str">
        <f aca="false">IF($A109="","",IF(ISNUMBER(MATCH($C109,Profiles!$A$2:$A$100,0)),$C109,DefaultProfile))</f>
        <v/>
      </c>
      <c r="N109" s="20" t="str">
        <f aca="false">IF($A109="","",INDEX(Profiles!$D$2:$D$100,MATCH($M109,Profiles!$A$2:$A$100,0)))</f>
        <v/>
      </c>
      <c r="O109" s="20" t="str">
        <f aca="false">IF($A109="","",INDEX(Profiles!$E$2:$E$100,MATCH($M109,Profiles!$A$2:$A$100,0)))</f>
        <v/>
      </c>
      <c r="P109" s="21" t="str">
        <f aca="false">IF($L109&lt;&gt;"Planned","",$K109*$D109*$N109*(1+$O109))</f>
        <v/>
      </c>
      <c r="Q109" s="21" t="str">
        <f aca="false">IF($L109&lt;&gt;"Planned","",$K109*$D109)</f>
        <v/>
      </c>
      <c r="R109" s="21" t="str">
        <f aca="false">IF($L109&lt;&gt;"Planned","",MAX(N($E109),$K109*$D109*$N109,$K109*N($G109)))</f>
        <v/>
      </c>
      <c r="S109" s="21" t="str">
        <f aca="false">IF($L109&lt;&gt;"Planned","",$P109)</f>
        <v/>
      </c>
      <c r="T109" s="21" t="str">
        <f aca="false">IF($L109&lt;&gt;"Planned","",$P109+$Q109)</f>
        <v/>
      </c>
      <c r="U109" s="21" t="str">
        <f aca="false">IF($L109&lt;&gt;"Planned","",$T109+$R109)</f>
        <v/>
      </c>
      <c r="V109" s="8" t="str">
        <f aca="false">IF($A109="","",SUMIFS('Open supply'!$C:$C,'Open supply'!$A:$A,$AF109))</f>
        <v/>
      </c>
      <c r="W109" s="8" t="str">
        <f aca="false">IF($A109="","",SUMIFS('Open supply'!$C:$C,'Open supply'!$A:$A,$AF109,'Open supply'!$B:$B,"&lt;"&amp;PlanDate))</f>
        <v/>
      </c>
      <c r="X109" s="8" t="str">
        <f aca="false">IF($A109="","",SUMIFS('Open demand'!$G:$G,'Open demand'!$A:$A,$AF109))</f>
        <v/>
      </c>
      <c r="Y109" s="8" t="str">
        <f aca="false">IF($L109&lt;&gt;"Planned","",N($H109)+$V109-$X109)</f>
        <v/>
      </c>
      <c r="Z109" s="19" t="str">
        <f aca="false">IF($L109&lt;&gt;"Planned","",IF($Y109&lt;=$S109,"Red",IF($Y109&lt;=$T109,"Yellow",IF($Y109&lt;=$U109,"Green","Above green"))))</f>
        <v/>
      </c>
      <c r="AA109" s="22" t="str">
        <f aca="false">IF(OR($L109&lt;&gt;"Planned",N($U109)&lt;=0),"",$Y109/$U109)</f>
        <v/>
      </c>
      <c r="AB109" s="8" t="str">
        <f aca="false">IF($L109&lt;&gt;"Planned","",IF($Y109&lt;=$T109,ROUNDUP(MAX($U109-$Y109,N($E109))/IF(N($F109)&gt;0,$F109,1)-0.000000001,0)*IF(N($F109)&gt;0,$F109,1),""))</f>
        <v/>
      </c>
      <c r="AC109" s="23" t="str">
        <f aca="false">IF(N($AB109)&gt;0,PlanDate+ROUNDUP($D109,0),"")</f>
        <v/>
      </c>
      <c r="AD109" s="19" t="str">
        <f aca="false">IF($L109&lt;&gt;"Planned","",IF(N($H109)&lt;=0,"Stockout",IF(N($H109)&lt;$S109*0.5,"Critical",IF(N($H109)&lt;=$S109,"Low",IF(N($H109)&gt;$U109,"Over top of green","OK")))))</f>
        <v/>
      </c>
      <c r="AE109" s="8" t="str">
        <f aca="false">IF($A109="","",$A109&amp;"")</f>
        <v/>
      </c>
      <c r="AF109" s="8" t="str">
        <f aca="false">IF($A109="","",SUBSTITUTE(SUBSTITUTE(SUBSTITUTE($A109&amp;"","~","~~"),"*","~*"),"?","~?"))</f>
        <v/>
      </c>
    </row>
    <row r="110" customFormat="false" ht="15" hidden="false" customHeight="false" outlineLevel="0" collapsed="false">
      <c r="A110" s="11"/>
      <c r="B110" s="11"/>
      <c r="C110" s="11"/>
      <c r="D110" s="16"/>
      <c r="E110" s="11"/>
      <c r="F110" s="11"/>
      <c r="G110" s="9"/>
      <c r="H110" s="11"/>
      <c r="I110" s="17"/>
      <c r="J110" s="18" t="str">
        <f aca="false">IF($A110="","",IF(COUNT(Usage!$C:$C)=0,"",MAX(0,SUMIFS(Usage!$C:$C,Usage!$A:$A,$AF110,Usage!$B:$B,"&gt;="&amp;(PlanDate-AduWindow),Usage!$B:$B,"&lt;"&amp;PlanDate))/AduWindow))</f>
        <v/>
      </c>
      <c r="K110" s="18" t="str">
        <f aca="false">IF($A110="","",IF(AND(ISNUMBER($I110),N($I110)&gt;=0),$I110,$J110))</f>
        <v/>
      </c>
      <c r="L110" s="19" t="str">
        <f aca="false">IF($A110="","",IF($K110="","Needs ADU",IF($K110&lt;=0,"No recent demand",IF(N($D110)&lt;=0,"Needs lead time","Planned"))))</f>
        <v/>
      </c>
      <c r="M110" s="8" t="str">
        <f aca="false">IF($A110="","",IF(ISNUMBER(MATCH($C110,Profiles!$A$2:$A$100,0)),$C110,DefaultProfile))</f>
        <v/>
      </c>
      <c r="N110" s="20" t="str">
        <f aca="false">IF($A110="","",INDEX(Profiles!$D$2:$D$100,MATCH($M110,Profiles!$A$2:$A$100,0)))</f>
        <v/>
      </c>
      <c r="O110" s="20" t="str">
        <f aca="false">IF($A110="","",INDEX(Profiles!$E$2:$E$100,MATCH($M110,Profiles!$A$2:$A$100,0)))</f>
        <v/>
      </c>
      <c r="P110" s="21" t="str">
        <f aca="false">IF($L110&lt;&gt;"Planned","",$K110*$D110*$N110*(1+$O110))</f>
        <v/>
      </c>
      <c r="Q110" s="21" t="str">
        <f aca="false">IF($L110&lt;&gt;"Planned","",$K110*$D110)</f>
        <v/>
      </c>
      <c r="R110" s="21" t="str">
        <f aca="false">IF($L110&lt;&gt;"Planned","",MAX(N($E110),$K110*$D110*$N110,$K110*N($G110)))</f>
        <v/>
      </c>
      <c r="S110" s="21" t="str">
        <f aca="false">IF($L110&lt;&gt;"Planned","",$P110)</f>
        <v/>
      </c>
      <c r="T110" s="21" t="str">
        <f aca="false">IF($L110&lt;&gt;"Planned","",$P110+$Q110)</f>
        <v/>
      </c>
      <c r="U110" s="21" t="str">
        <f aca="false">IF($L110&lt;&gt;"Planned","",$T110+$R110)</f>
        <v/>
      </c>
      <c r="V110" s="8" t="str">
        <f aca="false">IF($A110="","",SUMIFS('Open supply'!$C:$C,'Open supply'!$A:$A,$AF110))</f>
        <v/>
      </c>
      <c r="W110" s="8" t="str">
        <f aca="false">IF($A110="","",SUMIFS('Open supply'!$C:$C,'Open supply'!$A:$A,$AF110,'Open supply'!$B:$B,"&lt;"&amp;PlanDate))</f>
        <v/>
      </c>
      <c r="X110" s="8" t="str">
        <f aca="false">IF($A110="","",SUMIFS('Open demand'!$G:$G,'Open demand'!$A:$A,$AF110))</f>
        <v/>
      </c>
      <c r="Y110" s="8" t="str">
        <f aca="false">IF($L110&lt;&gt;"Planned","",N($H110)+$V110-$X110)</f>
        <v/>
      </c>
      <c r="Z110" s="19" t="str">
        <f aca="false">IF($L110&lt;&gt;"Planned","",IF($Y110&lt;=$S110,"Red",IF($Y110&lt;=$T110,"Yellow",IF($Y110&lt;=$U110,"Green","Above green"))))</f>
        <v/>
      </c>
      <c r="AA110" s="22" t="str">
        <f aca="false">IF(OR($L110&lt;&gt;"Planned",N($U110)&lt;=0),"",$Y110/$U110)</f>
        <v/>
      </c>
      <c r="AB110" s="8" t="str">
        <f aca="false">IF($L110&lt;&gt;"Planned","",IF($Y110&lt;=$T110,ROUNDUP(MAX($U110-$Y110,N($E110))/IF(N($F110)&gt;0,$F110,1)-0.000000001,0)*IF(N($F110)&gt;0,$F110,1),""))</f>
        <v/>
      </c>
      <c r="AC110" s="23" t="str">
        <f aca="false">IF(N($AB110)&gt;0,PlanDate+ROUNDUP($D110,0),"")</f>
        <v/>
      </c>
      <c r="AD110" s="19" t="str">
        <f aca="false">IF($L110&lt;&gt;"Planned","",IF(N($H110)&lt;=0,"Stockout",IF(N($H110)&lt;$S110*0.5,"Critical",IF(N($H110)&lt;=$S110,"Low",IF(N($H110)&gt;$U110,"Over top of green","OK")))))</f>
        <v/>
      </c>
      <c r="AE110" s="8" t="str">
        <f aca="false">IF($A110="","",$A110&amp;"")</f>
        <v/>
      </c>
      <c r="AF110" s="8" t="str">
        <f aca="false">IF($A110="","",SUBSTITUTE(SUBSTITUTE(SUBSTITUTE($A110&amp;"","~","~~"),"*","~*"),"?","~?"))</f>
        <v/>
      </c>
    </row>
    <row r="111" customFormat="false" ht="15" hidden="false" customHeight="false" outlineLevel="0" collapsed="false">
      <c r="A111" s="11"/>
      <c r="B111" s="11"/>
      <c r="C111" s="11"/>
      <c r="D111" s="16"/>
      <c r="E111" s="11"/>
      <c r="F111" s="11"/>
      <c r="G111" s="9"/>
      <c r="H111" s="11"/>
      <c r="I111" s="17"/>
      <c r="J111" s="18" t="str">
        <f aca="false">IF($A111="","",IF(COUNT(Usage!$C:$C)=0,"",MAX(0,SUMIFS(Usage!$C:$C,Usage!$A:$A,$AF111,Usage!$B:$B,"&gt;="&amp;(PlanDate-AduWindow),Usage!$B:$B,"&lt;"&amp;PlanDate))/AduWindow))</f>
        <v/>
      </c>
      <c r="K111" s="18" t="str">
        <f aca="false">IF($A111="","",IF(AND(ISNUMBER($I111),N($I111)&gt;=0),$I111,$J111))</f>
        <v/>
      </c>
      <c r="L111" s="19" t="str">
        <f aca="false">IF($A111="","",IF($K111="","Needs ADU",IF($K111&lt;=0,"No recent demand",IF(N($D111)&lt;=0,"Needs lead time","Planned"))))</f>
        <v/>
      </c>
      <c r="M111" s="8" t="str">
        <f aca="false">IF($A111="","",IF(ISNUMBER(MATCH($C111,Profiles!$A$2:$A$100,0)),$C111,DefaultProfile))</f>
        <v/>
      </c>
      <c r="N111" s="20" t="str">
        <f aca="false">IF($A111="","",INDEX(Profiles!$D$2:$D$100,MATCH($M111,Profiles!$A$2:$A$100,0)))</f>
        <v/>
      </c>
      <c r="O111" s="20" t="str">
        <f aca="false">IF($A111="","",INDEX(Profiles!$E$2:$E$100,MATCH($M111,Profiles!$A$2:$A$100,0)))</f>
        <v/>
      </c>
      <c r="P111" s="21" t="str">
        <f aca="false">IF($L111&lt;&gt;"Planned","",$K111*$D111*$N111*(1+$O111))</f>
        <v/>
      </c>
      <c r="Q111" s="21" t="str">
        <f aca="false">IF($L111&lt;&gt;"Planned","",$K111*$D111)</f>
        <v/>
      </c>
      <c r="R111" s="21" t="str">
        <f aca="false">IF($L111&lt;&gt;"Planned","",MAX(N($E111),$K111*$D111*$N111,$K111*N($G111)))</f>
        <v/>
      </c>
      <c r="S111" s="21" t="str">
        <f aca="false">IF($L111&lt;&gt;"Planned","",$P111)</f>
        <v/>
      </c>
      <c r="T111" s="21" t="str">
        <f aca="false">IF($L111&lt;&gt;"Planned","",$P111+$Q111)</f>
        <v/>
      </c>
      <c r="U111" s="21" t="str">
        <f aca="false">IF($L111&lt;&gt;"Planned","",$T111+$R111)</f>
        <v/>
      </c>
      <c r="V111" s="8" t="str">
        <f aca="false">IF($A111="","",SUMIFS('Open supply'!$C:$C,'Open supply'!$A:$A,$AF111))</f>
        <v/>
      </c>
      <c r="W111" s="8" t="str">
        <f aca="false">IF($A111="","",SUMIFS('Open supply'!$C:$C,'Open supply'!$A:$A,$AF111,'Open supply'!$B:$B,"&lt;"&amp;PlanDate))</f>
        <v/>
      </c>
      <c r="X111" s="8" t="str">
        <f aca="false">IF($A111="","",SUMIFS('Open demand'!$G:$G,'Open demand'!$A:$A,$AF111))</f>
        <v/>
      </c>
      <c r="Y111" s="8" t="str">
        <f aca="false">IF($L111&lt;&gt;"Planned","",N($H111)+$V111-$X111)</f>
        <v/>
      </c>
      <c r="Z111" s="19" t="str">
        <f aca="false">IF($L111&lt;&gt;"Planned","",IF($Y111&lt;=$S111,"Red",IF($Y111&lt;=$T111,"Yellow",IF($Y111&lt;=$U111,"Green","Above green"))))</f>
        <v/>
      </c>
      <c r="AA111" s="22" t="str">
        <f aca="false">IF(OR($L111&lt;&gt;"Planned",N($U111)&lt;=0),"",$Y111/$U111)</f>
        <v/>
      </c>
      <c r="AB111" s="8" t="str">
        <f aca="false">IF($L111&lt;&gt;"Planned","",IF($Y111&lt;=$T111,ROUNDUP(MAX($U111-$Y111,N($E111))/IF(N($F111)&gt;0,$F111,1)-0.000000001,0)*IF(N($F111)&gt;0,$F111,1),""))</f>
        <v/>
      </c>
      <c r="AC111" s="23" t="str">
        <f aca="false">IF(N($AB111)&gt;0,PlanDate+ROUNDUP($D111,0),"")</f>
        <v/>
      </c>
      <c r="AD111" s="19" t="str">
        <f aca="false">IF($L111&lt;&gt;"Planned","",IF(N($H111)&lt;=0,"Stockout",IF(N($H111)&lt;$S111*0.5,"Critical",IF(N($H111)&lt;=$S111,"Low",IF(N($H111)&gt;$U111,"Over top of green","OK")))))</f>
        <v/>
      </c>
      <c r="AE111" s="8" t="str">
        <f aca="false">IF($A111="","",$A111&amp;"")</f>
        <v/>
      </c>
      <c r="AF111" s="8" t="str">
        <f aca="false">IF($A111="","",SUBSTITUTE(SUBSTITUTE(SUBSTITUTE($A111&amp;"","~","~~"),"*","~*"),"?","~?"))</f>
        <v/>
      </c>
    </row>
    <row r="112" customFormat="false" ht="15" hidden="false" customHeight="false" outlineLevel="0" collapsed="false">
      <c r="A112" s="11"/>
      <c r="B112" s="11"/>
      <c r="C112" s="11"/>
      <c r="D112" s="16"/>
      <c r="E112" s="11"/>
      <c r="F112" s="11"/>
      <c r="G112" s="9"/>
      <c r="H112" s="11"/>
      <c r="I112" s="17"/>
      <c r="J112" s="18" t="str">
        <f aca="false">IF($A112="","",IF(COUNT(Usage!$C:$C)=0,"",MAX(0,SUMIFS(Usage!$C:$C,Usage!$A:$A,$AF112,Usage!$B:$B,"&gt;="&amp;(PlanDate-AduWindow),Usage!$B:$B,"&lt;"&amp;PlanDate))/AduWindow))</f>
        <v/>
      </c>
      <c r="K112" s="18" t="str">
        <f aca="false">IF($A112="","",IF(AND(ISNUMBER($I112),N($I112)&gt;=0),$I112,$J112))</f>
        <v/>
      </c>
      <c r="L112" s="19" t="str">
        <f aca="false">IF($A112="","",IF($K112="","Needs ADU",IF($K112&lt;=0,"No recent demand",IF(N($D112)&lt;=0,"Needs lead time","Planned"))))</f>
        <v/>
      </c>
      <c r="M112" s="8" t="str">
        <f aca="false">IF($A112="","",IF(ISNUMBER(MATCH($C112,Profiles!$A$2:$A$100,0)),$C112,DefaultProfile))</f>
        <v/>
      </c>
      <c r="N112" s="20" t="str">
        <f aca="false">IF($A112="","",INDEX(Profiles!$D$2:$D$100,MATCH($M112,Profiles!$A$2:$A$100,0)))</f>
        <v/>
      </c>
      <c r="O112" s="20" t="str">
        <f aca="false">IF($A112="","",INDEX(Profiles!$E$2:$E$100,MATCH($M112,Profiles!$A$2:$A$100,0)))</f>
        <v/>
      </c>
      <c r="P112" s="21" t="str">
        <f aca="false">IF($L112&lt;&gt;"Planned","",$K112*$D112*$N112*(1+$O112))</f>
        <v/>
      </c>
      <c r="Q112" s="21" t="str">
        <f aca="false">IF($L112&lt;&gt;"Planned","",$K112*$D112)</f>
        <v/>
      </c>
      <c r="R112" s="21" t="str">
        <f aca="false">IF($L112&lt;&gt;"Planned","",MAX(N($E112),$K112*$D112*$N112,$K112*N($G112)))</f>
        <v/>
      </c>
      <c r="S112" s="21" t="str">
        <f aca="false">IF($L112&lt;&gt;"Planned","",$P112)</f>
        <v/>
      </c>
      <c r="T112" s="21" t="str">
        <f aca="false">IF($L112&lt;&gt;"Planned","",$P112+$Q112)</f>
        <v/>
      </c>
      <c r="U112" s="21" t="str">
        <f aca="false">IF($L112&lt;&gt;"Planned","",$T112+$R112)</f>
        <v/>
      </c>
      <c r="V112" s="8" t="str">
        <f aca="false">IF($A112="","",SUMIFS('Open supply'!$C:$C,'Open supply'!$A:$A,$AF112))</f>
        <v/>
      </c>
      <c r="W112" s="8" t="str">
        <f aca="false">IF($A112="","",SUMIFS('Open supply'!$C:$C,'Open supply'!$A:$A,$AF112,'Open supply'!$B:$B,"&lt;"&amp;PlanDate))</f>
        <v/>
      </c>
      <c r="X112" s="8" t="str">
        <f aca="false">IF($A112="","",SUMIFS('Open demand'!$G:$G,'Open demand'!$A:$A,$AF112))</f>
        <v/>
      </c>
      <c r="Y112" s="8" t="str">
        <f aca="false">IF($L112&lt;&gt;"Planned","",N($H112)+$V112-$X112)</f>
        <v/>
      </c>
      <c r="Z112" s="19" t="str">
        <f aca="false">IF($L112&lt;&gt;"Planned","",IF($Y112&lt;=$S112,"Red",IF($Y112&lt;=$T112,"Yellow",IF($Y112&lt;=$U112,"Green","Above green"))))</f>
        <v/>
      </c>
      <c r="AA112" s="22" t="str">
        <f aca="false">IF(OR($L112&lt;&gt;"Planned",N($U112)&lt;=0),"",$Y112/$U112)</f>
        <v/>
      </c>
      <c r="AB112" s="8" t="str">
        <f aca="false">IF($L112&lt;&gt;"Planned","",IF($Y112&lt;=$T112,ROUNDUP(MAX($U112-$Y112,N($E112))/IF(N($F112)&gt;0,$F112,1)-0.000000001,0)*IF(N($F112)&gt;0,$F112,1),""))</f>
        <v/>
      </c>
      <c r="AC112" s="23" t="str">
        <f aca="false">IF(N($AB112)&gt;0,PlanDate+ROUNDUP($D112,0),"")</f>
        <v/>
      </c>
      <c r="AD112" s="19" t="str">
        <f aca="false">IF($L112&lt;&gt;"Planned","",IF(N($H112)&lt;=0,"Stockout",IF(N($H112)&lt;$S112*0.5,"Critical",IF(N($H112)&lt;=$S112,"Low",IF(N($H112)&gt;$U112,"Over top of green","OK")))))</f>
        <v/>
      </c>
      <c r="AE112" s="8" t="str">
        <f aca="false">IF($A112="","",$A112&amp;"")</f>
        <v/>
      </c>
      <c r="AF112" s="8" t="str">
        <f aca="false">IF($A112="","",SUBSTITUTE(SUBSTITUTE(SUBSTITUTE($A112&amp;"","~","~~"),"*","~*"),"?","~?"))</f>
        <v/>
      </c>
    </row>
    <row r="113" customFormat="false" ht="15" hidden="false" customHeight="false" outlineLevel="0" collapsed="false">
      <c r="A113" s="11"/>
      <c r="B113" s="11"/>
      <c r="C113" s="11"/>
      <c r="D113" s="16"/>
      <c r="E113" s="11"/>
      <c r="F113" s="11"/>
      <c r="G113" s="9"/>
      <c r="H113" s="11"/>
      <c r="I113" s="17"/>
      <c r="J113" s="18" t="str">
        <f aca="false">IF($A113="","",IF(COUNT(Usage!$C:$C)=0,"",MAX(0,SUMIFS(Usage!$C:$C,Usage!$A:$A,$AF113,Usage!$B:$B,"&gt;="&amp;(PlanDate-AduWindow),Usage!$B:$B,"&lt;"&amp;PlanDate))/AduWindow))</f>
        <v/>
      </c>
      <c r="K113" s="18" t="str">
        <f aca="false">IF($A113="","",IF(AND(ISNUMBER($I113),N($I113)&gt;=0),$I113,$J113))</f>
        <v/>
      </c>
      <c r="L113" s="19" t="str">
        <f aca="false">IF($A113="","",IF($K113="","Needs ADU",IF($K113&lt;=0,"No recent demand",IF(N($D113)&lt;=0,"Needs lead time","Planned"))))</f>
        <v/>
      </c>
      <c r="M113" s="8" t="str">
        <f aca="false">IF($A113="","",IF(ISNUMBER(MATCH($C113,Profiles!$A$2:$A$100,0)),$C113,DefaultProfile))</f>
        <v/>
      </c>
      <c r="N113" s="20" t="str">
        <f aca="false">IF($A113="","",INDEX(Profiles!$D$2:$D$100,MATCH($M113,Profiles!$A$2:$A$100,0)))</f>
        <v/>
      </c>
      <c r="O113" s="20" t="str">
        <f aca="false">IF($A113="","",INDEX(Profiles!$E$2:$E$100,MATCH($M113,Profiles!$A$2:$A$100,0)))</f>
        <v/>
      </c>
      <c r="P113" s="21" t="str">
        <f aca="false">IF($L113&lt;&gt;"Planned","",$K113*$D113*$N113*(1+$O113))</f>
        <v/>
      </c>
      <c r="Q113" s="21" t="str">
        <f aca="false">IF($L113&lt;&gt;"Planned","",$K113*$D113)</f>
        <v/>
      </c>
      <c r="R113" s="21" t="str">
        <f aca="false">IF($L113&lt;&gt;"Planned","",MAX(N($E113),$K113*$D113*$N113,$K113*N($G113)))</f>
        <v/>
      </c>
      <c r="S113" s="21" t="str">
        <f aca="false">IF($L113&lt;&gt;"Planned","",$P113)</f>
        <v/>
      </c>
      <c r="T113" s="21" t="str">
        <f aca="false">IF($L113&lt;&gt;"Planned","",$P113+$Q113)</f>
        <v/>
      </c>
      <c r="U113" s="21" t="str">
        <f aca="false">IF($L113&lt;&gt;"Planned","",$T113+$R113)</f>
        <v/>
      </c>
      <c r="V113" s="8" t="str">
        <f aca="false">IF($A113="","",SUMIFS('Open supply'!$C:$C,'Open supply'!$A:$A,$AF113))</f>
        <v/>
      </c>
      <c r="W113" s="8" t="str">
        <f aca="false">IF($A113="","",SUMIFS('Open supply'!$C:$C,'Open supply'!$A:$A,$AF113,'Open supply'!$B:$B,"&lt;"&amp;PlanDate))</f>
        <v/>
      </c>
      <c r="X113" s="8" t="str">
        <f aca="false">IF($A113="","",SUMIFS('Open demand'!$G:$G,'Open demand'!$A:$A,$AF113))</f>
        <v/>
      </c>
      <c r="Y113" s="8" t="str">
        <f aca="false">IF($L113&lt;&gt;"Planned","",N($H113)+$V113-$X113)</f>
        <v/>
      </c>
      <c r="Z113" s="19" t="str">
        <f aca="false">IF($L113&lt;&gt;"Planned","",IF($Y113&lt;=$S113,"Red",IF($Y113&lt;=$T113,"Yellow",IF($Y113&lt;=$U113,"Green","Above green"))))</f>
        <v/>
      </c>
      <c r="AA113" s="22" t="str">
        <f aca="false">IF(OR($L113&lt;&gt;"Planned",N($U113)&lt;=0),"",$Y113/$U113)</f>
        <v/>
      </c>
      <c r="AB113" s="8" t="str">
        <f aca="false">IF($L113&lt;&gt;"Planned","",IF($Y113&lt;=$T113,ROUNDUP(MAX($U113-$Y113,N($E113))/IF(N($F113)&gt;0,$F113,1)-0.000000001,0)*IF(N($F113)&gt;0,$F113,1),""))</f>
        <v/>
      </c>
      <c r="AC113" s="23" t="str">
        <f aca="false">IF(N($AB113)&gt;0,PlanDate+ROUNDUP($D113,0),"")</f>
        <v/>
      </c>
      <c r="AD113" s="19" t="str">
        <f aca="false">IF($L113&lt;&gt;"Planned","",IF(N($H113)&lt;=0,"Stockout",IF(N($H113)&lt;$S113*0.5,"Critical",IF(N($H113)&lt;=$S113,"Low",IF(N($H113)&gt;$U113,"Over top of green","OK")))))</f>
        <v/>
      </c>
      <c r="AE113" s="8" t="str">
        <f aca="false">IF($A113="","",$A113&amp;"")</f>
        <v/>
      </c>
      <c r="AF113" s="8" t="str">
        <f aca="false">IF($A113="","",SUBSTITUTE(SUBSTITUTE(SUBSTITUTE($A113&amp;"","~","~~"),"*","~*"),"?","~?"))</f>
        <v/>
      </c>
    </row>
    <row r="114" customFormat="false" ht="15" hidden="false" customHeight="false" outlineLevel="0" collapsed="false">
      <c r="A114" s="11"/>
      <c r="B114" s="11"/>
      <c r="C114" s="11"/>
      <c r="D114" s="16"/>
      <c r="E114" s="11"/>
      <c r="F114" s="11"/>
      <c r="G114" s="9"/>
      <c r="H114" s="11"/>
      <c r="I114" s="17"/>
      <c r="J114" s="18" t="str">
        <f aca="false">IF($A114="","",IF(COUNT(Usage!$C:$C)=0,"",MAX(0,SUMIFS(Usage!$C:$C,Usage!$A:$A,$AF114,Usage!$B:$B,"&gt;="&amp;(PlanDate-AduWindow),Usage!$B:$B,"&lt;"&amp;PlanDate))/AduWindow))</f>
        <v/>
      </c>
      <c r="K114" s="18" t="str">
        <f aca="false">IF($A114="","",IF(AND(ISNUMBER($I114),N($I114)&gt;=0),$I114,$J114))</f>
        <v/>
      </c>
      <c r="L114" s="19" t="str">
        <f aca="false">IF($A114="","",IF($K114="","Needs ADU",IF($K114&lt;=0,"No recent demand",IF(N($D114)&lt;=0,"Needs lead time","Planned"))))</f>
        <v/>
      </c>
      <c r="M114" s="8" t="str">
        <f aca="false">IF($A114="","",IF(ISNUMBER(MATCH($C114,Profiles!$A$2:$A$100,0)),$C114,DefaultProfile))</f>
        <v/>
      </c>
      <c r="N114" s="20" t="str">
        <f aca="false">IF($A114="","",INDEX(Profiles!$D$2:$D$100,MATCH($M114,Profiles!$A$2:$A$100,0)))</f>
        <v/>
      </c>
      <c r="O114" s="20" t="str">
        <f aca="false">IF($A114="","",INDEX(Profiles!$E$2:$E$100,MATCH($M114,Profiles!$A$2:$A$100,0)))</f>
        <v/>
      </c>
      <c r="P114" s="21" t="str">
        <f aca="false">IF($L114&lt;&gt;"Planned","",$K114*$D114*$N114*(1+$O114))</f>
        <v/>
      </c>
      <c r="Q114" s="21" t="str">
        <f aca="false">IF($L114&lt;&gt;"Planned","",$K114*$D114)</f>
        <v/>
      </c>
      <c r="R114" s="21" t="str">
        <f aca="false">IF($L114&lt;&gt;"Planned","",MAX(N($E114),$K114*$D114*$N114,$K114*N($G114)))</f>
        <v/>
      </c>
      <c r="S114" s="21" t="str">
        <f aca="false">IF($L114&lt;&gt;"Planned","",$P114)</f>
        <v/>
      </c>
      <c r="T114" s="21" t="str">
        <f aca="false">IF($L114&lt;&gt;"Planned","",$P114+$Q114)</f>
        <v/>
      </c>
      <c r="U114" s="21" t="str">
        <f aca="false">IF($L114&lt;&gt;"Planned","",$T114+$R114)</f>
        <v/>
      </c>
      <c r="V114" s="8" t="str">
        <f aca="false">IF($A114="","",SUMIFS('Open supply'!$C:$C,'Open supply'!$A:$A,$AF114))</f>
        <v/>
      </c>
      <c r="W114" s="8" t="str">
        <f aca="false">IF($A114="","",SUMIFS('Open supply'!$C:$C,'Open supply'!$A:$A,$AF114,'Open supply'!$B:$B,"&lt;"&amp;PlanDate))</f>
        <v/>
      </c>
      <c r="X114" s="8" t="str">
        <f aca="false">IF($A114="","",SUMIFS('Open demand'!$G:$G,'Open demand'!$A:$A,$AF114))</f>
        <v/>
      </c>
      <c r="Y114" s="8" t="str">
        <f aca="false">IF($L114&lt;&gt;"Planned","",N($H114)+$V114-$X114)</f>
        <v/>
      </c>
      <c r="Z114" s="19" t="str">
        <f aca="false">IF($L114&lt;&gt;"Planned","",IF($Y114&lt;=$S114,"Red",IF($Y114&lt;=$T114,"Yellow",IF($Y114&lt;=$U114,"Green","Above green"))))</f>
        <v/>
      </c>
      <c r="AA114" s="22" t="str">
        <f aca="false">IF(OR($L114&lt;&gt;"Planned",N($U114)&lt;=0),"",$Y114/$U114)</f>
        <v/>
      </c>
      <c r="AB114" s="8" t="str">
        <f aca="false">IF($L114&lt;&gt;"Planned","",IF($Y114&lt;=$T114,ROUNDUP(MAX($U114-$Y114,N($E114))/IF(N($F114)&gt;0,$F114,1)-0.000000001,0)*IF(N($F114)&gt;0,$F114,1),""))</f>
        <v/>
      </c>
      <c r="AC114" s="23" t="str">
        <f aca="false">IF(N($AB114)&gt;0,PlanDate+ROUNDUP($D114,0),"")</f>
        <v/>
      </c>
      <c r="AD114" s="19" t="str">
        <f aca="false">IF($L114&lt;&gt;"Planned","",IF(N($H114)&lt;=0,"Stockout",IF(N($H114)&lt;$S114*0.5,"Critical",IF(N($H114)&lt;=$S114,"Low",IF(N($H114)&gt;$U114,"Over top of green","OK")))))</f>
        <v/>
      </c>
      <c r="AE114" s="8" t="str">
        <f aca="false">IF($A114="","",$A114&amp;"")</f>
        <v/>
      </c>
      <c r="AF114" s="8" t="str">
        <f aca="false">IF($A114="","",SUBSTITUTE(SUBSTITUTE(SUBSTITUTE($A114&amp;"","~","~~"),"*","~*"),"?","~?"))</f>
        <v/>
      </c>
    </row>
    <row r="115" customFormat="false" ht="15" hidden="false" customHeight="false" outlineLevel="0" collapsed="false">
      <c r="A115" s="11"/>
      <c r="B115" s="11"/>
      <c r="C115" s="11"/>
      <c r="D115" s="16"/>
      <c r="E115" s="11"/>
      <c r="F115" s="11"/>
      <c r="G115" s="9"/>
      <c r="H115" s="11"/>
      <c r="I115" s="17"/>
      <c r="J115" s="18" t="str">
        <f aca="false">IF($A115="","",IF(COUNT(Usage!$C:$C)=0,"",MAX(0,SUMIFS(Usage!$C:$C,Usage!$A:$A,$AF115,Usage!$B:$B,"&gt;="&amp;(PlanDate-AduWindow),Usage!$B:$B,"&lt;"&amp;PlanDate))/AduWindow))</f>
        <v/>
      </c>
      <c r="K115" s="18" t="str">
        <f aca="false">IF($A115="","",IF(AND(ISNUMBER($I115),N($I115)&gt;=0),$I115,$J115))</f>
        <v/>
      </c>
      <c r="L115" s="19" t="str">
        <f aca="false">IF($A115="","",IF($K115="","Needs ADU",IF($K115&lt;=0,"No recent demand",IF(N($D115)&lt;=0,"Needs lead time","Planned"))))</f>
        <v/>
      </c>
      <c r="M115" s="8" t="str">
        <f aca="false">IF($A115="","",IF(ISNUMBER(MATCH($C115,Profiles!$A$2:$A$100,0)),$C115,DefaultProfile))</f>
        <v/>
      </c>
      <c r="N115" s="20" t="str">
        <f aca="false">IF($A115="","",INDEX(Profiles!$D$2:$D$100,MATCH($M115,Profiles!$A$2:$A$100,0)))</f>
        <v/>
      </c>
      <c r="O115" s="20" t="str">
        <f aca="false">IF($A115="","",INDEX(Profiles!$E$2:$E$100,MATCH($M115,Profiles!$A$2:$A$100,0)))</f>
        <v/>
      </c>
      <c r="P115" s="21" t="str">
        <f aca="false">IF($L115&lt;&gt;"Planned","",$K115*$D115*$N115*(1+$O115))</f>
        <v/>
      </c>
      <c r="Q115" s="21" t="str">
        <f aca="false">IF($L115&lt;&gt;"Planned","",$K115*$D115)</f>
        <v/>
      </c>
      <c r="R115" s="21" t="str">
        <f aca="false">IF($L115&lt;&gt;"Planned","",MAX(N($E115),$K115*$D115*$N115,$K115*N($G115)))</f>
        <v/>
      </c>
      <c r="S115" s="21" t="str">
        <f aca="false">IF($L115&lt;&gt;"Planned","",$P115)</f>
        <v/>
      </c>
      <c r="T115" s="21" t="str">
        <f aca="false">IF($L115&lt;&gt;"Planned","",$P115+$Q115)</f>
        <v/>
      </c>
      <c r="U115" s="21" t="str">
        <f aca="false">IF($L115&lt;&gt;"Planned","",$T115+$R115)</f>
        <v/>
      </c>
      <c r="V115" s="8" t="str">
        <f aca="false">IF($A115="","",SUMIFS('Open supply'!$C:$C,'Open supply'!$A:$A,$AF115))</f>
        <v/>
      </c>
      <c r="W115" s="8" t="str">
        <f aca="false">IF($A115="","",SUMIFS('Open supply'!$C:$C,'Open supply'!$A:$A,$AF115,'Open supply'!$B:$B,"&lt;"&amp;PlanDate))</f>
        <v/>
      </c>
      <c r="X115" s="8" t="str">
        <f aca="false">IF($A115="","",SUMIFS('Open demand'!$G:$G,'Open demand'!$A:$A,$AF115))</f>
        <v/>
      </c>
      <c r="Y115" s="8" t="str">
        <f aca="false">IF($L115&lt;&gt;"Planned","",N($H115)+$V115-$X115)</f>
        <v/>
      </c>
      <c r="Z115" s="19" t="str">
        <f aca="false">IF($L115&lt;&gt;"Planned","",IF($Y115&lt;=$S115,"Red",IF($Y115&lt;=$T115,"Yellow",IF($Y115&lt;=$U115,"Green","Above green"))))</f>
        <v/>
      </c>
      <c r="AA115" s="22" t="str">
        <f aca="false">IF(OR($L115&lt;&gt;"Planned",N($U115)&lt;=0),"",$Y115/$U115)</f>
        <v/>
      </c>
      <c r="AB115" s="8" t="str">
        <f aca="false">IF($L115&lt;&gt;"Planned","",IF($Y115&lt;=$T115,ROUNDUP(MAX($U115-$Y115,N($E115))/IF(N($F115)&gt;0,$F115,1)-0.000000001,0)*IF(N($F115)&gt;0,$F115,1),""))</f>
        <v/>
      </c>
      <c r="AC115" s="23" t="str">
        <f aca="false">IF(N($AB115)&gt;0,PlanDate+ROUNDUP($D115,0),"")</f>
        <v/>
      </c>
      <c r="AD115" s="19" t="str">
        <f aca="false">IF($L115&lt;&gt;"Planned","",IF(N($H115)&lt;=0,"Stockout",IF(N($H115)&lt;$S115*0.5,"Critical",IF(N($H115)&lt;=$S115,"Low",IF(N($H115)&gt;$U115,"Over top of green","OK")))))</f>
        <v/>
      </c>
      <c r="AE115" s="8" t="str">
        <f aca="false">IF($A115="","",$A115&amp;"")</f>
        <v/>
      </c>
      <c r="AF115" s="8" t="str">
        <f aca="false">IF($A115="","",SUBSTITUTE(SUBSTITUTE(SUBSTITUTE($A115&amp;"","~","~~"),"*","~*"),"?","~?"))</f>
        <v/>
      </c>
    </row>
    <row r="116" customFormat="false" ht="15" hidden="false" customHeight="false" outlineLevel="0" collapsed="false">
      <c r="A116" s="11"/>
      <c r="B116" s="11"/>
      <c r="C116" s="11"/>
      <c r="D116" s="16"/>
      <c r="E116" s="11"/>
      <c r="F116" s="11"/>
      <c r="G116" s="9"/>
      <c r="H116" s="11"/>
      <c r="I116" s="17"/>
      <c r="J116" s="18" t="str">
        <f aca="false">IF($A116="","",IF(COUNT(Usage!$C:$C)=0,"",MAX(0,SUMIFS(Usage!$C:$C,Usage!$A:$A,$AF116,Usage!$B:$B,"&gt;="&amp;(PlanDate-AduWindow),Usage!$B:$B,"&lt;"&amp;PlanDate))/AduWindow))</f>
        <v/>
      </c>
      <c r="K116" s="18" t="str">
        <f aca="false">IF($A116="","",IF(AND(ISNUMBER($I116),N($I116)&gt;=0),$I116,$J116))</f>
        <v/>
      </c>
      <c r="L116" s="19" t="str">
        <f aca="false">IF($A116="","",IF($K116="","Needs ADU",IF($K116&lt;=0,"No recent demand",IF(N($D116)&lt;=0,"Needs lead time","Planned"))))</f>
        <v/>
      </c>
      <c r="M116" s="8" t="str">
        <f aca="false">IF($A116="","",IF(ISNUMBER(MATCH($C116,Profiles!$A$2:$A$100,0)),$C116,DefaultProfile))</f>
        <v/>
      </c>
      <c r="N116" s="20" t="str">
        <f aca="false">IF($A116="","",INDEX(Profiles!$D$2:$D$100,MATCH($M116,Profiles!$A$2:$A$100,0)))</f>
        <v/>
      </c>
      <c r="O116" s="20" t="str">
        <f aca="false">IF($A116="","",INDEX(Profiles!$E$2:$E$100,MATCH($M116,Profiles!$A$2:$A$100,0)))</f>
        <v/>
      </c>
      <c r="P116" s="21" t="str">
        <f aca="false">IF($L116&lt;&gt;"Planned","",$K116*$D116*$N116*(1+$O116))</f>
        <v/>
      </c>
      <c r="Q116" s="21" t="str">
        <f aca="false">IF($L116&lt;&gt;"Planned","",$K116*$D116)</f>
        <v/>
      </c>
      <c r="R116" s="21" t="str">
        <f aca="false">IF($L116&lt;&gt;"Planned","",MAX(N($E116),$K116*$D116*$N116,$K116*N($G116)))</f>
        <v/>
      </c>
      <c r="S116" s="21" t="str">
        <f aca="false">IF($L116&lt;&gt;"Planned","",$P116)</f>
        <v/>
      </c>
      <c r="T116" s="21" t="str">
        <f aca="false">IF($L116&lt;&gt;"Planned","",$P116+$Q116)</f>
        <v/>
      </c>
      <c r="U116" s="21" t="str">
        <f aca="false">IF($L116&lt;&gt;"Planned","",$T116+$R116)</f>
        <v/>
      </c>
      <c r="V116" s="8" t="str">
        <f aca="false">IF($A116="","",SUMIFS('Open supply'!$C:$C,'Open supply'!$A:$A,$AF116))</f>
        <v/>
      </c>
      <c r="W116" s="8" t="str">
        <f aca="false">IF($A116="","",SUMIFS('Open supply'!$C:$C,'Open supply'!$A:$A,$AF116,'Open supply'!$B:$B,"&lt;"&amp;PlanDate))</f>
        <v/>
      </c>
      <c r="X116" s="8" t="str">
        <f aca="false">IF($A116="","",SUMIFS('Open demand'!$G:$G,'Open demand'!$A:$A,$AF116))</f>
        <v/>
      </c>
      <c r="Y116" s="8" t="str">
        <f aca="false">IF($L116&lt;&gt;"Planned","",N($H116)+$V116-$X116)</f>
        <v/>
      </c>
      <c r="Z116" s="19" t="str">
        <f aca="false">IF($L116&lt;&gt;"Planned","",IF($Y116&lt;=$S116,"Red",IF($Y116&lt;=$T116,"Yellow",IF($Y116&lt;=$U116,"Green","Above green"))))</f>
        <v/>
      </c>
      <c r="AA116" s="22" t="str">
        <f aca="false">IF(OR($L116&lt;&gt;"Planned",N($U116)&lt;=0),"",$Y116/$U116)</f>
        <v/>
      </c>
      <c r="AB116" s="8" t="str">
        <f aca="false">IF($L116&lt;&gt;"Planned","",IF($Y116&lt;=$T116,ROUNDUP(MAX($U116-$Y116,N($E116))/IF(N($F116)&gt;0,$F116,1)-0.000000001,0)*IF(N($F116)&gt;0,$F116,1),""))</f>
        <v/>
      </c>
      <c r="AC116" s="23" t="str">
        <f aca="false">IF(N($AB116)&gt;0,PlanDate+ROUNDUP($D116,0),"")</f>
        <v/>
      </c>
      <c r="AD116" s="19" t="str">
        <f aca="false">IF($L116&lt;&gt;"Planned","",IF(N($H116)&lt;=0,"Stockout",IF(N($H116)&lt;$S116*0.5,"Critical",IF(N($H116)&lt;=$S116,"Low",IF(N($H116)&gt;$U116,"Over top of green","OK")))))</f>
        <v/>
      </c>
      <c r="AE116" s="8" t="str">
        <f aca="false">IF($A116="","",$A116&amp;"")</f>
        <v/>
      </c>
      <c r="AF116" s="8" t="str">
        <f aca="false">IF($A116="","",SUBSTITUTE(SUBSTITUTE(SUBSTITUTE($A116&amp;"","~","~~"),"*","~*"),"?","~?"))</f>
        <v/>
      </c>
    </row>
    <row r="117" customFormat="false" ht="15" hidden="false" customHeight="false" outlineLevel="0" collapsed="false">
      <c r="A117" s="11"/>
      <c r="B117" s="11"/>
      <c r="C117" s="11"/>
      <c r="D117" s="16"/>
      <c r="E117" s="11"/>
      <c r="F117" s="11"/>
      <c r="G117" s="9"/>
      <c r="H117" s="11"/>
      <c r="I117" s="17"/>
      <c r="J117" s="18" t="str">
        <f aca="false">IF($A117="","",IF(COUNT(Usage!$C:$C)=0,"",MAX(0,SUMIFS(Usage!$C:$C,Usage!$A:$A,$AF117,Usage!$B:$B,"&gt;="&amp;(PlanDate-AduWindow),Usage!$B:$B,"&lt;"&amp;PlanDate))/AduWindow))</f>
        <v/>
      </c>
      <c r="K117" s="18" t="str">
        <f aca="false">IF($A117="","",IF(AND(ISNUMBER($I117),N($I117)&gt;=0),$I117,$J117))</f>
        <v/>
      </c>
      <c r="L117" s="19" t="str">
        <f aca="false">IF($A117="","",IF($K117="","Needs ADU",IF($K117&lt;=0,"No recent demand",IF(N($D117)&lt;=0,"Needs lead time","Planned"))))</f>
        <v/>
      </c>
      <c r="M117" s="8" t="str">
        <f aca="false">IF($A117="","",IF(ISNUMBER(MATCH($C117,Profiles!$A$2:$A$100,0)),$C117,DefaultProfile))</f>
        <v/>
      </c>
      <c r="N117" s="20" t="str">
        <f aca="false">IF($A117="","",INDEX(Profiles!$D$2:$D$100,MATCH($M117,Profiles!$A$2:$A$100,0)))</f>
        <v/>
      </c>
      <c r="O117" s="20" t="str">
        <f aca="false">IF($A117="","",INDEX(Profiles!$E$2:$E$100,MATCH($M117,Profiles!$A$2:$A$100,0)))</f>
        <v/>
      </c>
      <c r="P117" s="21" t="str">
        <f aca="false">IF($L117&lt;&gt;"Planned","",$K117*$D117*$N117*(1+$O117))</f>
        <v/>
      </c>
      <c r="Q117" s="21" t="str">
        <f aca="false">IF($L117&lt;&gt;"Planned","",$K117*$D117)</f>
        <v/>
      </c>
      <c r="R117" s="21" t="str">
        <f aca="false">IF($L117&lt;&gt;"Planned","",MAX(N($E117),$K117*$D117*$N117,$K117*N($G117)))</f>
        <v/>
      </c>
      <c r="S117" s="21" t="str">
        <f aca="false">IF($L117&lt;&gt;"Planned","",$P117)</f>
        <v/>
      </c>
      <c r="T117" s="21" t="str">
        <f aca="false">IF($L117&lt;&gt;"Planned","",$P117+$Q117)</f>
        <v/>
      </c>
      <c r="U117" s="21" t="str">
        <f aca="false">IF($L117&lt;&gt;"Planned","",$T117+$R117)</f>
        <v/>
      </c>
      <c r="V117" s="8" t="str">
        <f aca="false">IF($A117="","",SUMIFS('Open supply'!$C:$C,'Open supply'!$A:$A,$AF117))</f>
        <v/>
      </c>
      <c r="W117" s="8" t="str">
        <f aca="false">IF($A117="","",SUMIFS('Open supply'!$C:$C,'Open supply'!$A:$A,$AF117,'Open supply'!$B:$B,"&lt;"&amp;PlanDate))</f>
        <v/>
      </c>
      <c r="X117" s="8" t="str">
        <f aca="false">IF($A117="","",SUMIFS('Open demand'!$G:$G,'Open demand'!$A:$A,$AF117))</f>
        <v/>
      </c>
      <c r="Y117" s="8" t="str">
        <f aca="false">IF($L117&lt;&gt;"Planned","",N($H117)+$V117-$X117)</f>
        <v/>
      </c>
      <c r="Z117" s="19" t="str">
        <f aca="false">IF($L117&lt;&gt;"Planned","",IF($Y117&lt;=$S117,"Red",IF($Y117&lt;=$T117,"Yellow",IF($Y117&lt;=$U117,"Green","Above green"))))</f>
        <v/>
      </c>
      <c r="AA117" s="22" t="str">
        <f aca="false">IF(OR($L117&lt;&gt;"Planned",N($U117)&lt;=0),"",$Y117/$U117)</f>
        <v/>
      </c>
      <c r="AB117" s="8" t="str">
        <f aca="false">IF($L117&lt;&gt;"Planned","",IF($Y117&lt;=$T117,ROUNDUP(MAX($U117-$Y117,N($E117))/IF(N($F117)&gt;0,$F117,1)-0.000000001,0)*IF(N($F117)&gt;0,$F117,1),""))</f>
        <v/>
      </c>
      <c r="AC117" s="23" t="str">
        <f aca="false">IF(N($AB117)&gt;0,PlanDate+ROUNDUP($D117,0),"")</f>
        <v/>
      </c>
      <c r="AD117" s="19" t="str">
        <f aca="false">IF($L117&lt;&gt;"Planned","",IF(N($H117)&lt;=0,"Stockout",IF(N($H117)&lt;$S117*0.5,"Critical",IF(N($H117)&lt;=$S117,"Low",IF(N($H117)&gt;$U117,"Over top of green","OK")))))</f>
        <v/>
      </c>
      <c r="AE117" s="8" t="str">
        <f aca="false">IF($A117="","",$A117&amp;"")</f>
        <v/>
      </c>
      <c r="AF117" s="8" t="str">
        <f aca="false">IF($A117="","",SUBSTITUTE(SUBSTITUTE(SUBSTITUTE($A117&amp;"","~","~~"),"*","~*"),"?","~?"))</f>
        <v/>
      </c>
    </row>
    <row r="118" customFormat="false" ht="15" hidden="false" customHeight="false" outlineLevel="0" collapsed="false">
      <c r="A118" s="11"/>
      <c r="B118" s="11"/>
      <c r="C118" s="11"/>
      <c r="D118" s="16"/>
      <c r="E118" s="11"/>
      <c r="F118" s="11"/>
      <c r="G118" s="9"/>
      <c r="H118" s="11"/>
      <c r="I118" s="17"/>
      <c r="J118" s="18" t="str">
        <f aca="false">IF($A118="","",IF(COUNT(Usage!$C:$C)=0,"",MAX(0,SUMIFS(Usage!$C:$C,Usage!$A:$A,$AF118,Usage!$B:$B,"&gt;="&amp;(PlanDate-AduWindow),Usage!$B:$B,"&lt;"&amp;PlanDate))/AduWindow))</f>
        <v/>
      </c>
      <c r="K118" s="18" t="str">
        <f aca="false">IF($A118="","",IF(AND(ISNUMBER($I118),N($I118)&gt;=0),$I118,$J118))</f>
        <v/>
      </c>
      <c r="L118" s="19" t="str">
        <f aca="false">IF($A118="","",IF($K118="","Needs ADU",IF($K118&lt;=0,"No recent demand",IF(N($D118)&lt;=0,"Needs lead time","Planned"))))</f>
        <v/>
      </c>
      <c r="M118" s="8" t="str">
        <f aca="false">IF($A118="","",IF(ISNUMBER(MATCH($C118,Profiles!$A$2:$A$100,0)),$C118,DefaultProfile))</f>
        <v/>
      </c>
      <c r="N118" s="20" t="str">
        <f aca="false">IF($A118="","",INDEX(Profiles!$D$2:$D$100,MATCH($M118,Profiles!$A$2:$A$100,0)))</f>
        <v/>
      </c>
      <c r="O118" s="20" t="str">
        <f aca="false">IF($A118="","",INDEX(Profiles!$E$2:$E$100,MATCH($M118,Profiles!$A$2:$A$100,0)))</f>
        <v/>
      </c>
      <c r="P118" s="21" t="str">
        <f aca="false">IF($L118&lt;&gt;"Planned","",$K118*$D118*$N118*(1+$O118))</f>
        <v/>
      </c>
      <c r="Q118" s="21" t="str">
        <f aca="false">IF($L118&lt;&gt;"Planned","",$K118*$D118)</f>
        <v/>
      </c>
      <c r="R118" s="21" t="str">
        <f aca="false">IF($L118&lt;&gt;"Planned","",MAX(N($E118),$K118*$D118*$N118,$K118*N($G118)))</f>
        <v/>
      </c>
      <c r="S118" s="21" t="str">
        <f aca="false">IF($L118&lt;&gt;"Planned","",$P118)</f>
        <v/>
      </c>
      <c r="T118" s="21" t="str">
        <f aca="false">IF($L118&lt;&gt;"Planned","",$P118+$Q118)</f>
        <v/>
      </c>
      <c r="U118" s="21" t="str">
        <f aca="false">IF($L118&lt;&gt;"Planned","",$T118+$R118)</f>
        <v/>
      </c>
      <c r="V118" s="8" t="str">
        <f aca="false">IF($A118="","",SUMIFS('Open supply'!$C:$C,'Open supply'!$A:$A,$AF118))</f>
        <v/>
      </c>
      <c r="W118" s="8" t="str">
        <f aca="false">IF($A118="","",SUMIFS('Open supply'!$C:$C,'Open supply'!$A:$A,$AF118,'Open supply'!$B:$B,"&lt;"&amp;PlanDate))</f>
        <v/>
      </c>
      <c r="X118" s="8" t="str">
        <f aca="false">IF($A118="","",SUMIFS('Open demand'!$G:$G,'Open demand'!$A:$A,$AF118))</f>
        <v/>
      </c>
      <c r="Y118" s="8" t="str">
        <f aca="false">IF($L118&lt;&gt;"Planned","",N($H118)+$V118-$X118)</f>
        <v/>
      </c>
      <c r="Z118" s="19" t="str">
        <f aca="false">IF($L118&lt;&gt;"Planned","",IF($Y118&lt;=$S118,"Red",IF($Y118&lt;=$T118,"Yellow",IF($Y118&lt;=$U118,"Green","Above green"))))</f>
        <v/>
      </c>
      <c r="AA118" s="22" t="str">
        <f aca="false">IF(OR($L118&lt;&gt;"Planned",N($U118)&lt;=0),"",$Y118/$U118)</f>
        <v/>
      </c>
      <c r="AB118" s="8" t="str">
        <f aca="false">IF($L118&lt;&gt;"Planned","",IF($Y118&lt;=$T118,ROUNDUP(MAX($U118-$Y118,N($E118))/IF(N($F118)&gt;0,$F118,1)-0.000000001,0)*IF(N($F118)&gt;0,$F118,1),""))</f>
        <v/>
      </c>
      <c r="AC118" s="23" t="str">
        <f aca="false">IF(N($AB118)&gt;0,PlanDate+ROUNDUP($D118,0),"")</f>
        <v/>
      </c>
      <c r="AD118" s="19" t="str">
        <f aca="false">IF($L118&lt;&gt;"Planned","",IF(N($H118)&lt;=0,"Stockout",IF(N($H118)&lt;$S118*0.5,"Critical",IF(N($H118)&lt;=$S118,"Low",IF(N($H118)&gt;$U118,"Over top of green","OK")))))</f>
        <v/>
      </c>
      <c r="AE118" s="8" t="str">
        <f aca="false">IF($A118="","",$A118&amp;"")</f>
        <v/>
      </c>
      <c r="AF118" s="8" t="str">
        <f aca="false">IF($A118="","",SUBSTITUTE(SUBSTITUTE(SUBSTITUTE($A118&amp;"","~","~~"),"*","~*"),"?","~?"))</f>
        <v/>
      </c>
    </row>
    <row r="119" customFormat="false" ht="15" hidden="false" customHeight="false" outlineLevel="0" collapsed="false">
      <c r="A119" s="11"/>
      <c r="B119" s="11"/>
      <c r="C119" s="11"/>
      <c r="D119" s="16"/>
      <c r="E119" s="11"/>
      <c r="F119" s="11"/>
      <c r="G119" s="9"/>
      <c r="H119" s="11"/>
      <c r="I119" s="17"/>
      <c r="J119" s="18" t="str">
        <f aca="false">IF($A119="","",IF(COUNT(Usage!$C:$C)=0,"",MAX(0,SUMIFS(Usage!$C:$C,Usage!$A:$A,$AF119,Usage!$B:$B,"&gt;="&amp;(PlanDate-AduWindow),Usage!$B:$B,"&lt;"&amp;PlanDate))/AduWindow))</f>
        <v/>
      </c>
      <c r="K119" s="18" t="str">
        <f aca="false">IF($A119="","",IF(AND(ISNUMBER($I119),N($I119)&gt;=0),$I119,$J119))</f>
        <v/>
      </c>
      <c r="L119" s="19" t="str">
        <f aca="false">IF($A119="","",IF($K119="","Needs ADU",IF($K119&lt;=0,"No recent demand",IF(N($D119)&lt;=0,"Needs lead time","Planned"))))</f>
        <v/>
      </c>
      <c r="M119" s="8" t="str">
        <f aca="false">IF($A119="","",IF(ISNUMBER(MATCH($C119,Profiles!$A$2:$A$100,0)),$C119,DefaultProfile))</f>
        <v/>
      </c>
      <c r="N119" s="20" t="str">
        <f aca="false">IF($A119="","",INDEX(Profiles!$D$2:$D$100,MATCH($M119,Profiles!$A$2:$A$100,0)))</f>
        <v/>
      </c>
      <c r="O119" s="20" t="str">
        <f aca="false">IF($A119="","",INDEX(Profiles!$E$2:$E$100,MATCH($M119,Profiles!$A$2:$A$100,0)))</f>
        <v/>
      </c>
      <c r="P119" s="21" t="str">
        <f aca="false">IF($L119&lt;&gt;"Planned","",$K119*$D119*$N119*(1+$O119))</f>
        <v/>
      </c>
      <c r="Q119" s="21" t="str">
        <f aca="false">IF($L119&lt;&gt;"Planned","",$K119*$D119)</f>
        <v/>
      </c>
      <c r="R119" s="21" t="str">
        <f aca="false">IF($L119&lt;&gt;"Planned","",MAX(N($E119),$K119*$D119*$N119,$K119*N($G119)))</f>
        <v/>
      </c>
      <c r="S119" s="21" t="str">
        <f aca="false">IF($L119&lt;&gt;"Planned","",$P119)</f>
        <v/>
      </c>
      <c r="T119" s="21" t="str">
        <f aca="false">IF($L119&lt;&gt;"Planned","",$P119+$Q119)</f>
        <v/>
      </c>
      <c r="U119" s="21" t="str">
        <f aca="false">IF($L119&lt;&gt;"Planned","",$T119+$R119)</f>
        <v/>
      </c>
      <c r="V119" s="8" t="str">
        <f aca="false">IF($A119="","",SUMIFS('Open supply'!$C:$C,'Open supply'!$A:$A,$AF119))</f>
        <v/>
      </c>
      <c r="W119" s="8" t="str">
        <f aca="false">IF($A119="","",SUMIFS('Open supply'!$C:$C,'Open supply'!$A:$A,$AF119,'Open supply'!$B:$B,"&lt;"&amp;PlanDate))</f>
        <v/>
      </c>
      <c r="X119" s="8" t="str">
        <f aca="false">IF($A119="","",SUMIFS('Open demand'!$G:$G,'Open demand'!$A:$A,$AF119))</f>
        <v/>
      </c>
      <c r="Y119" s="8" t="str">
        <f aca="false">IF($L119&lt;&gt;"Planned","",N($H119)+$V119-$X119)</f>
        <v/>
      </c>
      <c r="Z119" s="19" t="str">
        <f aca="false">IF($L119&lt;&gt;"Planned","",IF($Y119&lt;=$S119,"Red",IF($Y119&lt;=$T119,"Yellow",IF($Y119&lt;=$U119,"Green","Above green"))))</f>
        <v/>
      </c>
      <c r="AA119" s="22" t="str">
        <f aca="false">IF(OR($L119&lt;&gt;"Planned",N($U119)&lt;=0),"",$Y119/$U119)</f>
        <v/>
      </c>
      <c r="AB119" s="8" t="str">
        <f aca="false">IF($L119&lt;&gt;"Planned","",IF($Y119&lt;=$T119,ROUNDUP(MAX($U119-$Y119,N($E119))/IF(N($F119)&gt;0,$F119,1)-0.000000001,0)*IF(N($F119)&gt;0,$F119,1),""))</f>
        <v/>
      </c>
      <c r="AC119" s="23" t="str">
        <f aca="false">IF(N($AB119)&gt;0,PlanDate+ROUNDUP($D119,0),"")</f>
        <v/>
      </c>
      <c r="AD119" s="19" t="str">
        <f aca="false">IF($L119&lt;&gt;"Planned","",IF(N($H119)&lt;=0,"Stockout",IF(N($H119)&lt;$S119*0.5,"Critical",IF(N($H119)&lt;=$S119,"Low",IF(N($H119)&gt;$U119,"Over top of green","OK")))))</f>
        <v/>
      </c>
      <c r="AE119" s="8" t="str">
        <f aca="false">IF($A119="","",$A119&amp;"")</f>
        <v/>
      </c>
      <c r="AF119" s="8" t="str">
        <f aca="false">IF($A119="","",SUBSTITUTE(SUBSTITUTE(SUBSTITUTE($A119&amp;"","~","~~"),"*","~*"),"?","~?"))</f>
        <v/>
      </c>
    </row>
    <row r="120" customFormat="false" ht="15" hidden="false" customHeight="false" outlineLevel="0" collapsed="false">
      <c r="A120" s="11"/>
      <c r="B120" s="11"/>
      <c r="C120" s="11"/>
      <c r="D120" s="16"/>
      <c r="E120" s="11"/>
      <c r="F120" s="11"/>
      <c r="G120" s="9"/>
      <c r="H120" s="11"/>
      <c r="I120" s="17"/>
      <c r="J120" s="18" t="str">
        <f aca="false">IF($A120="","",IF(COUNT(Usage!$C:$C)=0,"",MAX(0,SUMIFS(Usage!$C:$C,Usage!$A:$A,$AF120,Usage!$B:$B,"&gt;="&amp;(PlanDate-AduWindow),Usage!$B:$B,"&lt;"&amp;PlanDate))/AduWindow))</f>
        <v/>
      </c>
      <c r="K120" s="18" t="str">
        <f aca="false">IF($A120="","",IF(AND(ISNUMBER($I120),N($I120)&gt;=0),$I120,$J120))</f>
        <v/>
      </c>
      <c r="L120" s="19" t="str">
        <f aca="false">IF($A120="","",IF($K120="","Needs ADU",IF($K120&lt;=0,"No recent demand",IF(N($D120)&lt;=0,"Needs lead time","Planned"))))</f>
        <v/>
      </c>
      <c r="M120" s="8" t="str">
        <f aca="false">IF($A120="","",IF(ISNUMBER(MATCH($C120,Profiles!$A$2:$A$100,0)),$C120,DefaultProfile))</f>
        <v/>
      </c>
      <c r="N120" s="20" t="str">
        <f aca="false">IF($A120="","",INDEX(Profiles!$D$2:$D$100,MATCH($M120,Profiles!$A$2:$A$100,0)))</f>
        <v/>
      </c>
      <c r="O120" s="20" t="str">
        <f aca="false">IF($A120="","",INDEX(Profiles!$E$2:$E$100,MATCH($M120,Profiles!$A$2:$A$100,0)))</f>
        <v/>
      </c>
      <c r="P120" s="21" t="str">
        <f aca="false">IF($L120&lt;&gt;"Planned","",$K120*$D120*$N120*(1+$O120))</f>
        <v/>
      </c>
      <c r="Q120" s="21" t="str">
        <f aca="false">IF($L120&lt;&gt;"Planned","",$K120*$D120)</f>
        <v/>
      </c>
      <c r="R120" s="21" t="str">
        <f aca="false">IF($L120&lt;&gt;"Planned","",MAX(N($E120),$K120*$D120*$N120,$K120*N($G120)))</f>
        <v/>
      </c>
      <c r="S120" s="21" t="str">
        <f aca="false">IF($L120&lt;&gt;"Planned","",$P120)</f>
        <v/>
      </c>
      <c r="T120" s="21" t="str">
        <f aca="false">IF($L120&lt;&gt;"Planned","",$P120+$Q120)</f>
        <v/>
      </c>
      <c r="U120" s="21" t="str">
        <f aca="false">IF($L120&lt;&gt;"Planned","",$T120+$R120)</f>
        <v/>
      </c>
      <c r="V120" s="8" t="str">
        <f aca="false">IF($A120="","",SUMIFS('Open supply'!$C:$C,'Open supply'!$A:$A,$AF120))</f>
        <v/>
      </c>
      <c r="W120" s="8" t="str">
        <f aca="false">IF($A120="","",SUMIFS('Open supply'!$C:$C,'Open supply'!$A:$A,$AF120,'Open supply'!$B:$B,"&lt;"&amp;PlanDate))</f>
        <v/>
      </c>
      <c r="X120" s="8" t="str">
        <f aca="false">IF($A120="","",SUMIFS('Open demand'!$G:$G,'Open demand'!$A:$A,$AF120))</f>
        <v/>
      </c>
      <c r="Y120" s="8" t="str">
        <f aca="false">IF($L120&lt;&gt;"Planned","",N($H120)+$V120-$X120)</f>
        <v/>
      </c>
      <c r="Z120" s="19" t="str">
        <f aca="false">IF($L120&lt;&gt;"Planned","",IF($Y120&lt;=$S120,"Red",IF($Y120&lt;=$T120,"Yellow",IF($Y120&lt;=$U120,"Green","Above green"))))</f>
        <v/>
      </c>
      <c r="AA120" s="22" t="str">
        <f aca="false">IF(OR($L120&lt;&gt;"Planned",N($U120)&lt;=0),"",$Y120/$U120)</f>
        <v/>
      </c>
      <c r="AB120" s="8" t="str">
        <f aca="false">IF($L120&lt;&gt;"Planned","",IF($Y120&lt;=$T120,ROUNDUP(MAX($U120-$Y120,N($E120))/IF(N($F120)&gt;0,$F120,1)-0.000000001,0)*IF(N($F120)&gt;0,$F120,1),""))</f>
        <v/>
      </c>
      <c r="AC120" s="23" t="str">
        <f aca="false">IF(N($AB120)&gt;0,PlanDate+ROUNDUP($D120,0),"")</f>
        <v/>
      </c>
      <c r="AD120" s="19" t="str">
        <f aca="false">IF($L120&lt;&gt;"Planned","",IF(N($H120)&lt;=0,"Stockout",IF(N($H120)&lt;$S120*0.5,"Critical",IF(N($H120)&lt;=$S120,"Low",IF(N($H120)&gt;$U120,"Over top of green","OK")))))</f>
        <v/>
      </c>
      <c r="AE120" s="8" t="str">
        <f aca="false">IF($A120="","",$A120&amp;"")</f>
        <v/>
      </c>
      <c r="AF120" s="8" t="str">
        <f aca="false">IF($A120="","",SUBSTITUTE(SUBSTITUTE(SUBSTITUTE($A120&amp;"","~","~~"),"*","~*"),"?","~?"))</f>
        <v/>
      </c>
    </row>
    <row r="121" customFormat="false" ht="15" hidden="false" customHeight="false" outlineLevel="0" collapsed="false">
      <c r="A121" s="11"/>
      <c r="B121" s="11"/>
      <c r="C121" s="11"/>
      <c r="D121" s="16"/>
      <c r="E121" s="11"/>
      <c r="F121" s="11"/>
      <c r="G121" s="9"/>
      <c r="H121" s="11"/>
      <c r="I121" s="17"/>
      <c r="J121" s="18" t="str">
        <f aca="false">IF($A121="","",IF(COUNT(Usage!$C:$C)=0,"",MAX(0,SUMIFS(Usage!$C:$C,Usage!$A:$A,$AF121,Usage!$B:$B,"&gt;="&amp;(PlanDate-AduWindow),Usage!$B:$B,"&lt;"&amp;PlanDate))/AduWindow))</f>
        <v/>
      </c>
      <c r="K121" s="18" t="str">
        <f aca="false">IF($A121="","",IF(AND(ISNUMBER($I121),N($I121)&gt;=0),$I121,$J121))</f>
        <v/>
      </c>
      <c r="L121" s="19" t="str">
        <f aca="false">IF($A121="","",IF($K121="","Needs ADU",IF($K121&lt;=0,"No recent demand",IF(N($D121)&lt;=0,"Needs lead time","Planned"))))</f>
        <v/>
      </c>
      <c r="M121" s="8" t="str">
        <f aca="false">IF($A121="","",IF(ISNUMBER(MATCH($C121,Profiles!$A$2:$A$100,0)),$C121,DefaultProfile))</f>
        <v/>
      </c>
      <c r="N121" s="20" t="str">
        <f aca="false">IF($A121="","",INDEX(Profiles!$D$2:$D$100,MATCH($M121,Profiles!$A$2:$A$100,0)))</f>
        <v/>
      </c>
      <c r="O121" s="20" t="str">
        <f aca="false">IF($A121="","",INDEX(Profiles!$E$2:$E$100,MATCH($M121,Profiles!$A$2:$A$100,0)))</f>
        <v/>
      </c>
      <c r="P121" s="21" t="str">
        <f aca="false">IF($L121&lt;&gt;"Planned","",$K121*$D121*$N121*(1+$O121))</f>
        <v/>
      </c>
      <c r="Q121" s="21" t="str">
        <f aca="false">IF($L121&lt;&gt;"Planned","",$K121*$D121)</f>
        <v/>
      </c>
      <c r="R121" s="21" t="str">
        <f aca="false">IF($L121&lt;&gt;"Planned","",MAX(N($E121),$K121*$D121*$N121,$K121*N($G121)))</f>
        <v/>
      </c>
      <c r="S121" s="21" t="str">
        <f aca="false">IF($L121&lt;&gt;"Planned","",$P121)</f>
        <v/>
      </c>
      <c r="T121" s="21" t="str">
        <f aca="false">IF($L121&lt;&gt;"Planned","",$P121+$Q121)</f>
        <v/>
      </c>
      <c r="U121" s="21" t="str">
        <f aca="false">IF($L121&lt;&gt;"Planned","",$T121+$R121)</f>
        <v/>
      </c>
      <c r="V121" s="8" t="str">
        <f aca="false">IF($A121="","",SUMIFS('Open supply'!$C:$C,'Open supply'!$A:$A,$AF121))</f>
        <v/>
      </c>
      <c r="W121" s="8" t="str">
        <f aca="false">IF($A121="","",SUMIFS('Open supply'!$C:$C,'Open supply'!$A:$A,$AF121,'Open supply'!$B:$B,"&lt;"&amp;PlanDate))</f>
        <v/>
      </c>
      <c r="X121" s="8" t="str">
        <f aca="false">IF($A121="","",SUMIFS('Open demand'!$G:$G,'Open demand'!$A:$A,$AF121))</f>
        <v/>
      </c>
      <c r="Y121" s="8" t="str">
        <f aca="false">IF($L121&lt;&gt;"Planned","",N($H121)+$V121-$X121)</f>
        <v/>
      </c>
      <c r="Z121" s="19" t="str">
        <f aca="false">IF($L121&lt;&gt;"Planned","",IF($Y121&lt;=$S121,"Red",IF($Y121&lt;=$T121,"Yellow",IF($Y121&lt;=$U121,"Green","Above green"))))</f>
        <v/>
      </c>
      <c r="AA121" s="22" t="str">
        <f aca="false">IF(OR($L121&lt;&gt;"Planned",N($U121)&lt;=0),"",$Y121/$U121)</f>
        <v/>
      </c>
      <c r="AB121" s="8" t="str">
        <f aca="false">IF($L121&lt;&gt;"Planned","",IF($Y121&lt;=$T121,ROUNDUP(MAX($U121-$Y121,N($E121))/IF(N($F121)&gt;0,$F121,1)-0.000000001,0)*IF(N($F121)&gt;0,$F121,1),""))</f>
        <v/>
      </c>
      <c r="AC121" s="23" t="str">
        <f aca="false">IF(N($AB121)&gt;0,PlanDate+ROUNDUP($D121,0),"")</f>
        <v/>
      </c>
      <c r="AD121" s="19" t="str">
        <f aca="false">IF($L121&lt;&gt;"Planned","",IF(N($H121)&lt;=0,"Stockout",IF(N($H121)&lt;$S121*0.5,"Critical",IF(N($H121)&lt;=$S121,"Low",IF(N($H121)&gt;$U121,"Over top of green","OK")))))</f>
        <v/>
      </c>
      <c r="AE121" s="8" t="str">
        <f aca="false">IF($A121="","",$A121&amp;"")</f>
        <v/>
      </c>
      <c r="AF121" s="8" t="str">
        <f aca="false">IF($A121="","",SUBSTITUTE(SUBSTITUTE(SUBSTITUTE($A121&amp;"","~","~~"),"*","~*"),"?","~?"))</f>
        <v/>
      </c>
    </row>
    <row r="122" customFormat="false" ht="15" hidden="false" customHeight="false" outlineLevel="0" collapsed="false">
      <c r="A122" s="11"/>
      <c r="B122" s="11"/>
      <c r="C122" s="11"/>
      <c r="D122" s="16"/>
      <c r="E122" s="11"/>
      <c r="F122" s="11"/>
      <c r="G122" s="9"/>
      <c r="H122" s="11"/>
      <c r="I122" s="17"/>
      <c r="J122" s="18" t="str">
        <f aca="false">IF($A122="","",IF(COUNT(Usage!$C:$C)=0,"",MAX(0,SUMIFS(Usage!$C:$C,Usage!$A:$A,$AF122,Usage!$B:$B,"&gt;="&amp;(PlanDate-AduWindow),Usage!$B:$B,"&lt;"&amp;PlanDate))/AduWindow))</f>
        <v/>
      </c>
      <c r="K122" s="18" t="str">
        <f aca="false">IF($A122="","",IF(AND(ISNUMBER($I122),N($I122)&gt;=0),$I122,$J122))</f>
        <v/>
      </c>
      <c r="L122" s="19" t="str">
        <f aca="false">IF($A122="","",IF($K122="","Needs ADU",IF($K122&lt;=0,"No recent demand",IF(N($D122)&lt;=0,"Needs lead time","Planned"))))</f>
        <v/>
      </c>
      <c r="M122" s="8" t="str">
        <f aca="false">IF($A122="","",IF(ISNUMBER(MATCH($C122,Profiles!$A$2:$A$100,0)),$C122,DefaultProfile))</f>
        <v/>
      </c>
      <c r="N122" s="20" t="str">
        <f aca="false">IF($A122="","",INDEX(Profiles!$D$2:$D$100,MATCH($M122,Profiles!$A$2:$A$100,0)))</f>
        <v/>
      </c>
      <c r="O122" s="20" t="str">
        <f aca="false">IF($A122="","",INDEX(Profiles!$E$2:$E$100,MATCH($M122,Profiles!$A$2:$A$100,0)))</f>
        <v/>
      </c>
      <c r="P122" s="21" t="str">
        <f aca="false">IF($L122&lt;&gt;"Planned","",$K122*$D122*$N122*(1+$O122))</f>
        <v/>
      </c>
      <c r="Q122" s="21" t="str">
        <f aca="false">IF($L122&lt;&gt;"Planned","",$K122*$D122)</f>
        <v/>
      </c>
      <c r="R122" s="21" t="str">
        <f aca="false">IF($L122&lt;&gt;"Planned","",MAX(N($E122),$K122*$D122*$N122,$K122*N($G122)))</f>
        <v/>
      </c>
      <c r="S122" s="21" t="str">
        <f aca="false">IF($L122&lt;&gt;"Planned","",$P122)</f>
        <v/>
      </c>
      <c r="T122" s="21" t="str">
        <f aca="false">IF($L122&lt;&gt;"Planned","",$P122+$Q122)</f>
        <v/>
      </c>
      <c r="U122" s="21" t="str">
        <f aca="false">IF($L122&lt;&gt;"Planned","",$T122+$R122)</f>
        <v/>
      </c>
      <c r="V122" s="8" t="str">
        <f aca="false">IF($A122="","",SUMIFS('Open supply'!$C:$C,'Open supply'!$A:$A,$AF122))</f>
        <v/>
      </c>
      <c r="W122" s="8" t="str">
        <f aca="false">IF($A122="","",SUMIFS('Open supply'!$C:$C,'Open supply'!$A:$A,$AF122,'Open supply'!$B:$B,"&lt;"&amp;PlanDate))</f>
        <v/>
      </c>
      <c r="X122" s="8" t="str">
        <f aca="false">IF($A122="","",SUMIFS('Open demand'!$G:$G,'Open demand'!$A:$A,$AF122))</f>
        <v/>
      </c>
      <c r="Y122" s="8" t="str">
        <f aca="false">IF($L122&lt;&gt;"Planned","",N($H122)+$V122-$X122)</f>
        <v/>
      </c>
      <c r="Z122" s="19" t="str">
        <f aca="false">IF($L122&lt;&gt;"Planned","",IF($Y122&lt;=$S122,"Red",IF($Y122&lt;=$T122,"Yellow",IF($Y122&lt;=$U122,"Green","Above green"))))</f>
        <v/>
      </c>
      <c r="AA122" s="22" t="str">
        <f aca="false">IF(OR($L122&lt;&gt;"Planned",N($U122)&lt;=0),"",$Y122/$U122)</f>
        <v/>
      </c>
      <c r="AB122" s="8" t="str">
        <f aca="false">IF($L122&lt;&gt;"Planned","",IF($Y122&lt;=$T122,ROUNDUP(MAX($U122-$Y122,N($E122))/IF(N($F122)&gt;0,$F122,1)-0.000000001,0)*IF(N($F122)&gt;0,$F122,1),""))</f>
        <v/>
      </c>
      <c r="AC122" s="23" t="str">
        <f aca="false">IF(N($AB122)&gt;0,PlanDate+ROUNDUP($D122,0),"")</f>
        <v/>
      </c>
      <c r="AD122" s="19" t="str">
        <f aca="false">IF($L122&lt;&gt;"Planned","",IF(N($H122)&lt;=0,"Stockout",IF(N($H122)&lt;$S122*0.5,"Critical",IF(N($H122)&lt;=$S122,"Low",IF(N($H122)&gt;$U122,"Over top of green","OK")))))</f>
        <v/>
      </c>
      <c r="AE122" s="8" t="str">
        <f aca="false">IF($A122="","",$A122&amp;"")</f>
        <v/>
      </c>
      <c r="AF122" s="8" t="str">
        <f aca="false">IF($A122="","",SUBSTITUTE(SUBSTITUTE(SUBSTITUTE($A122&amp;"","~","~~"),"*","~*"),"?","~?"))</f>
        <v/>
      </c>
    </row>
    <row r="123" customFormat="false" ht="15" hidden="false" customHeight="false" outlineLevel="0" collapsed="false">
      <c r="A123" s="11"/>
      <c r="B123" s="11"/>
      <c r="C123" s="11"/>
      <c r="D123" s="16"/>
      <c r="E123" s="11"/>
      <c r="F123" s="11"/>
      <c r="G123" s="9"/>
      <c r="H123" s="11"/>
      <c r="I123" s="17"/>
      <c r="J123" s="18" t="str">
        <f aca="false">IF($A123="","",IF(COUNT(Usage!$C:$C)=0,"",MAX(0,SUMIFS(Usage!$C:$C,Usage!$A:$A,$AF123,Usage!$B:$B,"&gt;="&amp;(PlanDate-AduWindow),Usage!$B:$B,"&lt;"&amp;PlanDate))/AduWindow))</f>
        <v/>
      </c>
      <c r="K123" s="18" t="str">
        <f aca="false">IF($A123="","",IF(AND(ISNUMBER($I123),N($I123)&gt;=0),$I123,$J123))</f>
        <v/>
      </c>
      <c r="L123" s="19" t="str">
        <f aca="false">IF($A123="","",IF($K123="","Needs ADU",IF($K123&lt;=0,"No recent demand",IF(N($D123)&lt;=0,"Needs lead time","Planned"))))</f>
        <v/>
      </c>
      <c r="M123" s="8" t="str">
        <f aca="false">IF($A123="","",IF(ISNUMBER(MATCH($C123,Profiles!$A$2:$A$100,0)),$C123,DefaultProfile))</f>
        <v/>
      </c>
      <c r="N123" s="20" t="str">
        <f aca="false">IF($A123="","",INDEX(Profiles!$D$2:$D$100,MATCH($M123,Profiles!$A$2:$A$100,0)))</f>
        <v/>
      </c>
      <c r="O123" s="20" t="str">
        <f aca="false">IF($A123="","",INDEX(Profiles!$E$2:$E$100,MATCH($M123,Profiles!$A$2:$A$100,0)))</f>
        <v/>
      </c>
      <c r="P123" s="21" t="str">
        <f aca="false">IF($L123&lt;&gt;"Planned","",$K123*$D123*$N123*(1+$O123))</f>
        <v/>
      </c>
      <c r="Q123" s="21" t="str">
        <f aca="false">IF($L123&lt;&gt;"Planned","",$K123*$D123)</f>
        <v/>
      </c>
      <c r="R123" s="21" t="str">
        <f aca="false">IF($L123&lt;&gt;"Planned","",MAX(N($E123),$K123*$D123*$N123,$K123*N($G123)))</f>
        <v/>
      </c>
      <c r="S123" s="21" t="str">
        <f aca="false">IF($L123&lt;&gt;"Planned","",$P123)</f>
        <v/>
      </c>
      <c r="T123" s="21" t="str">
        <f aca="false">IF($L123&lt;&gt;"Planned","",$P123+$Q123)</f>
        <v/>
      </c>
      <c r="U123" s="21" t="str">
        <f aca="false">IF($L123&lt;&gt;"Planned","",$T123+$R123)</f>
        <v/>
      </c>
      <c r="V123" s="8" t="str">
        <f aca="false">IF($A123="","",SUMIFS('Open supply'!$C:$C,'Open supply'!$A:$A,$AF123))</f>
        <v/>
      </c>
      <c r="W123" s="8" t="str">
        <f aca="false">IF($A123="","",SUMIFS('Open supply'!$C:$C,'Open supply'!$A:$A,$AF123,'Open supply'!$B:$B,"&lt;"&amp;PlanDate))</f>
        <v/>
      </c>
      <c r="X123" s="8" t="str">
        <f aca="false">IF($A123="","",SUMIFS('Open demand'!$G:$G,'Open demand'!$A:$A,$AF123))</f>
        <v/>
      </c>
      <c r="Y123" s="8" t="str">
        <f aca="false">IF($L123&lt;&gt;"Planned","",N($H123)+$V123-$X123)</f>
        <v/>
      </c>
      <c r="Z123" s="19" t="str">
        <f aca="false">IF($L123&lt;&gt;"Planned","",IF($Y123&lt;=$S123,"Red",IF($Y123&lt;=$T123,"Yellow",IF($Y123&lt;=$U123,"Green","Above green"))))</f>
        <v/>
      </c>
      <c r="AA123" s="22" t="str">
        <f aca="false">IF(OR($L123&lt;&gt;"Planned",N($U123)&lt;=0),"",$Y123/$U123)</f>
        <v/>
      </c>
      <c r="AB123" s="8" t="str">
        <f aca="false">IF($L123&lt;&gt;"Planned","",IF($Y123&lt;=$T123,ROUNDUP(MAX($U123-$Y123,N($E123))/IF(N($F123)&gt;0,$F123,1)-0.000000001,0)*IF(N($F123)&gt;0,$F123,1),""))</f>
        <v/>
      </c>
      <c r="AC123" s="23" t="str">
        <f aca="false">IF(N($AB123)&gt;0,PlanDate+ROUNDUP($D123,0),"")</f>
        <v/>
      </c>
      <c r="AD123" s="19" t="str">
        <f aca="false">IF($L123&lt;&gt;"Planned","",IF(N($H123)&lt;=0,"Stockout",IF(N($H123)&lt;$S123*0.5,"Critical",IF(N($H123)&lt;=$S123,"Low",IF(N($H123)&gt;$U123,"Over top of green","OK")))))</f>
        <v/>
      </c>
      <c r="AE123" s="8" t="str">
        <f aca="false">IF($A123="","",$A123&amp;"")</f>
        <v/>
      </c>
      <c r="AF123" s="8" t="str">
        <f aca="false">IF($A123="","",SUBSTITUTE(SUBSTITUTE(SUBSTITUTE($A123&amp;"","~","~~"),"*","~*"),"?","~?"))</f>
        <v/>
      </c>
    </row>
    <row r="124" customFormat="false" ht="15" hidden="false" customHeight="false" outlineLevel="0" collapsed="false">
      <c r="A124" s="11"/>
      <c r="B124" s="11"/>
      <c r="C124" s="11"/>
      <c r="D124" s="16"/>
      <c r="E124" s="11"/>
      <c r="F124" s="11"/>
      <c r="G124" s="9"/>
      <c r="H124" s="11"/>
      <c r="I124" s="17"/>
      <c r="J124" s="18" t="str">
        <f aca="false">IF($A124="","",IF(COUNT(Usage!$C:$C)=0,"",MAX(0,SUMIFS(Usage!$C:$C,Usage!$A:$A,$AF124,Usage!$B:$B,"&gt;="&amp;(PlanDate-AduWindow),Usage!$B:$B,"&lt;"&amp;PlanDate))/AduWindow))</f>
        <v/>
      </c>
      <c r="K124" s="18" t="str">
        <f aca="false">IF($A124="","",IF(AND(ISNUMBER($I124),N($I124)&gt;=0),$I124,$J124))</f>
        <v/>
      </c>
      <c r="L124" s="19" t="str">
        <f aca="false">IF($A124="","",IF($K124="","Needs ADU",IF($K124&lt;=0,"No recent demand",IF(N($D124)&lt;=0,"Needs lead time","Planned"))))</f>
        <v/>
      </c>
      <c r="M124" s="8" t="str">
        <f aca="false">IF($A124="","",IF(ISNUMBER(MATCH($C124,Profiles!$A$2:$A$100,0)),$C124,DefaultProfile))</f>
        <v/>
      </c>
      <c r="N124" s="20" t="str">
        <f aca="false">IF($A124="","",INDEX(Profiles!$D$2:$D$100,MATCH($M124,Profiles!$A$2:$A$100,0)))</f>
        <v/>
      </c>
      <c r="O124" s="20" t="str">
        <f aca="false">IF($A124="","",INDEX(Profiles!$E$2:$E$100,MATCH($M124,Profiles!$A$2:$A$100,0)))</f>
        <v/>
      </c>
      <c r="P124" s="21" t="str">
        <f aca="false">IF($L124&lt;&gt;"Planned","",$K124*$D124*$N124*(1+$O124))</f>
        <v/>
      </c>
      <c r="Q124" s="21" t="str">
        <f aca="false">IF($L124&lt;&gt;"Planned","",$K124*$D124)</f>
        <v/>
      </c>
      <c r="R124" s="21" t="str">
        <f aca="false">IF($L124&lt;&gt;"Planned","",MAX(N($E124),$K124*$D124*$N124,$K124*N($G124)))</f>
        <v/>
      </c>
      <c r="S124" s="21" t="str">
        <f aca="false">IF($L124&lt;&gt;"Planned","",$P124)</f>
        <v/>
      </c>
      <c r="T124" s="21" t="str">
        <f aca="false">IF($L124&lt;&gt;"Planned","",$P124+$Q124)</f>
        <v/>
      </c>
      <c r="U124" s="21" t="str">
        <f aca="false">IF($L124&lt;&gt;"Planned","",$T124+$R124)</f>
        <v/>
      </c>
      <c r="V124" s="8" t="str">
        <f aca="false">IF($A124="","",SUMIFS('Open supply'!$C:$C,'Open supply'!$A:$A,$AF124))</f>
        <v/>
      </c>
      <c r="W124" s="8" t="str">
        <f aca="false">IF($A124="","",SUMIFS('Open supply'!$C:$C,'Open supply'!$A:$A,$AF124,'Open supply'!$B:$B,"&lt;"&amp;PlanDate))</f>
        <v/>
      </c>
      <c r="X124" s="8" t="str">
        <f aca="false">IF($A124="","",SUMIFS('Open demand'!$G:$G,'Open demand'!$A:$A,$AF124))</f>
        <v/>
      </c>
      <c r="Y124" s="8" t="str">
        <f aca="false">IF($L124&lt;&gt;"Planned","",N($H124)+$V124-$X124)</f>
        <v/>
      </c>
      <c r="Z124" s="19" t="str">
        <f aca="false">IF($L124&lt;&gt;"Planned","",IF($Y124&lt;=$S124,"Red",IF($Y124&lt;=$T124,"Yellow",IF($Y124&lt;=$U124,"Green","Above green"))))</f>
        <v/>
      </c>
      <c r="AA124" s="22" t="str">
        <f aca="false">IF(OR($L124&lt;&gt;"Planned",N($U124)&lt;=0),"",$Y124/$U124)</f>
        <v/>
      </c>
      <c r="AB124" s="8" t="str">
        <f aca="false">IF($L124&lt;&gt;"Planned","",IF($Y124&lt;=$T124,ROUNDUP(MAX($U124-$Y124,N($E124))/IF(N($F124)&gt;0,$F124,1)-0.000000001,0)*IF(N($F124)&gt;0,$F124,1),""))</f>
        <v/>
      </c>
      <c r="AC124" s="23" t="str">
        <f aca="false">IF(N($AB124)&gt;0,PlanDate+ROUNDUP($D124,0),"")</f>
        <v/>
      </c>
      <c r="AD124" s="19" t="str">
        <f aca="false">IF($L124&lt;&gt;"Planned","",IF(N($H124)&lt;=0,"Stockout",IF(N($H124)&lt;$S124*0.5,"Critical",IF(N($H124)&lt;=$S124,"Low",IF(N($H124)&gt;$U124,"Over top of green","OK")))))</f>
        <v/>
      </c>
      <c r="AE124" s="8" t="str">
        <f aca="false">IF($A124="","",$A124&amp;"")</f>
        <v/>
      </c>
      <c r="AF124" s="8" t="str">
        <f aca="false">IF($A124="","",SUBSTITUTE(SUBSTITUTE(SUBSTITUTE($A124&amp;"","~","~~"),"*","~*"),"?","~?"))</f>
        <v/>
      </c>
    </row>
    <row r="125" customFormat="false" ht="15" hidden="false" customHeight="false" outlineLevel="0" collapsed="false">
      <c r="A125" s="11"/>
      <c r="B125" s="11"/>
      <c r="C125" s="11"/>
      <c r="D125" s="16"/>
      <c r="E125" s="11"/>
      <c r="F125" s="11"/>
      <c r="G125" s="9"/>
      <c r="H125" s="11"/>
      <c r="I125" s="17"/>
      <c r="J125" s="18" t="str">
        <f aca="false">IF($A125="","",IF(COUNT(Usage!$C:$C)=0,"",MAX(0,SUMIFS(Usage!$C:$C,Usage!$A:$A,$AF125,Usage!$B:$B,"&gt;="&amp;(PlanDate-AduWindow),Usage!$B:$B,"&lt;"&amp;PlanDate))/AduWindow))</f>
        <v/>
      </c>
      <c r="K125" s="18" t="str">
        <f aca="false">IF($A125="","",IF(AND(ISNUMBER($I125),N($I125)&gt;=0),$I125,$J125))</f>
        <v/>
      </c>
      <c r="L125" s="19" t="str">
        <f aca="false">IF($A125="","",IF($K125="","Needs ADU",IF($K125&lt;=0,"No recent demand",IF(N($D125)&lt;=0,"Needs lead time","Planned"))))</f>
        <v/>
      </c>
      <c r="M125" s="8" t="str">
        <f aca="false">IF($A125="","",IF(ISNUMBER(MATCH($C125,Profiles!$A$2:$A$100,0)),$C125,DefaultProfile))</f>
        <v/>
      </c>
      <c r="N125" s="20" t="str">
        <f aca="false">IF($A125="","",INDEX(Profiles!$D$2:$D$100,MATCH($M125,Profiles!$A$2:$A$100,0)))</f>
        <v/>
      </c>
      <c r="O125" s="20" t="str">
        <f aca="false">IF($A125="","",INDEX(Profiles!$E$2:$E$100,MATCH($M125,Profiles!$A$2:$A$100,0)))</f>
        <v/>
      </c>
      <c r="P125" s="21" t="str">
        <f aca="false">IF($L125&lt;&gt;"Planned","",$K125*$D125*$N125*(1+$O125))</f>
        <v/>
      </c>
      <c r="Q125" s="21" t="str">
        <f aca="false">IF($L125&lt;&gt;"Planned","",$K125*$D125)</f>
        <v/>
      </c>
      <c r="R125" s="21" t="str">
        <f aca="false">IF($L125&lt;&gt;"Planned","",MAX(N($E125),$K125*$D125*$N125,$K125*N($G125)))</f>
        <v/>
      </c>
      <c r="S125" s="21" t="str">
        <f aca="false">IF($L125&lt;&gt;"Planned","",$P125)</f>
        <v/>
      </c>
      <c r="T125" s="21" t="str">
        <f aca="false">IF($L125&lt;&gt;"Planned","",$P125+$Q125)</f>
        <v/>
      </c>
      <c r="U125" s="21" t="str">
        <f aca="false">IF($L125&lt;&gt;"Planned","",$T125+$R125)</f>
        <v/>
      </c>
      <c r="V125" s="8" t="str">
        <f aca="false">IF($A125="","",SUMIFS('Open supply'!$C:$C,'Open supply'!$A:$A,$AF125))</f>
        <v/>
      </c>
      <c r="W125" s="8" t="str">
        <f aca="false">IF($A125="","",SUMIFS('Open supply'!$C:$C,'Open supply'!$A:$A,$AF125,'Open supply'!$B:$B,"&lt;"&amp;PlanDate))</f>
        <v/>
      </c>
      <c r="X125" s="8" t="str">
        <f aca="false">IF($A125="","",SUMIFS('Open demand'!$G:$G,'Open demand'!$A:$A,$AF125))</f>
        <v/>
      </c>
      <c r="Y125" s="8" t="str">
        <f aca="false">IF($L125&lt;&gt;"Planned","",N($H125)+$V125-$X125)</f>
        <v/>
      </c>
      <c r="Z125" s="19" t="str">
        <f aca="false">IF($L125&lt;&gt;"Planned","",IF($Y125&lt;=$S125,"Red",IF($Y125&lt;=$T125,"Yellow",IF($Y125&lt;=$U125,"Green","Above green"))))</f>
        <v/>
      </c>
      <c r="AA125" s="22" t="str">
        <f aca="false">IF(OR($L125&lt;&gt;"Planned",N($U125)&lt;=0),"",$Y125/$U125)</f>
        <v/>
      </c>
      <c r="AB125" s="8" t="str">
        <f aca="false">IF($L125&lt;&gt;"Planned","",IF($Y125&lt;=$T125,ROUNDUP(MAX($U125-$Y125,N($E125))/IF(N($F125)&gt;0,$F125,1)-0.000000001,0)*IF(N($F125)&gt;0,$F125,1),""))</f>
        <v/>
      </c>
      <c r="AC125" s="23" t="str">
        <f aca="false">IF(N($AB125)&gt;0,PlanDate+ROUNDUP($D125,0),"")</f>
        <v/>
      </c>
      <c r="AD125" s="19" t="str">
        <f aca="false">IF($L125&lt;&gt;"Planned","",IF(N($H125)&lt;=0,"Stockout",IF(N($H125)&lt;$S125*0.5,"Critical",IF(N($H125)&lt;=$S125,"Low",IF(N($H125)&gt;$U125,"Over top of green","OK")))))</f>
        <v/>
      </c>
      <c r="AE125" s="8" t="str">
        <f aca="false">IF($A125="","",$A125&amp;"")</f>
        <v/>
      </c>
      <c r="AF125" s="8" t="str">
        <f aca="false">IF($A125="","",SUBSTITUTE(SUBSTITUTE(SUBSTITUTE($A125&amp;"","~","~~"),"*","~*"),"?","~?"))</f>
        <v/>
      </c>
    </row>
    <row r="126" customFormat="false" ht="15" hidden="false" customHeight="false" outlineLevel="0" collapsed="false">
      <c r="A126" s="11"/>
      <c r="B126" s="11"/>
      <c r="C126" s="11"/>
      <c r="D126" s="16"/>
      <c r="E126" s="11"/>
      <c r="F126" s="11"/>
      <c r="G126" s="9"/>
      <c r="H126" s="11"/>
      <c r="I126" s="17"/>
      <c r="J126" s="18" t="str">
        <f aca="false">IF($A126="","",IF(COUNT(Usage!$C:$C)=0,"",MAX(0,SUMIFS(Usage!$C:$C,Usage!$A:$A,$AF126,Usage!$B:$B,"&gt;="&amp;(PlanDate-AduWindow),Usage!$B:$B,"&lt;"&amp;PlanDate))/AduWindow))</f>
        <v/>
      </c>
      <c r="K126" s="18" t="str">
        <f aca="false">IF($A126="","",IF(AND(ISNUMBER($I126),N($I126)&gt;=0),$I126,$J126))</f>
        <v/>
      </c>
      <c r="L126" s="19" t="str">
        <f aca="false">IF($A126="","",IF($K126="","Needs ADU",IF($K126&lt;=0,"No recent demand",IF(N($D126)&lt;=0,"Needs lead time","Planned"))))</f>
        <v/>
      </c>
      <c r="M126" s="8" t="str">
        <f aca="false">IF($A126="","",IF(ISNUMBER(MATCH($C126,Profiles!$A$2:$A$100,0)),$C126,DefaultProfile))</f>
        <v/>
      </c>
      <c r="N126" s="20" t="str">
        <f aca="false">IF($A126="","",INDEX(Profiles!$D$2:$D$100,MATCH($M126,Profiles!$A$2:$A$100,0)))</f>
        <v/>
      </c>
      <c r="O126" s="20" t="str">
        <f aca="false">IF($A126="","",INDEX(Profiles!$E$2:$E$100,MATCH($M126,Profiles!$A$2:$A$100,0)))</f>
        <v/>
      </c>
      <c r="P126" s="21" t="str">
        <f aca="false">IF($L126&lt;&gt;"Planned","",$K126*$D126*$N126*(1+$O126))</f>
        <v/>
      </c>
      <c r="Q126" s="21" t="str">
        <f aca="false">IF($L126&lt;&gt;"Planned","",$K126*$D126)</f>
        <v/>
      </c>
      <c r="R126" s="21" t="str">
        <f aca="false">IF($L126&lt;&gt;"Planned","",MAX(N($E126),$K126*$D126*$N126,$K126*N($G126)))</f>
        <v/>
      </c>
      <c r="S126" s="21" t="str">
        <f aca="false">IF($L126&lt;&gt;"Planned","",$P126)</f>
        <v/>
      </c>
      <c r="T126" s="21" t="str">
        <f aca="false">IF($L126&lt;&gt;"Planned","",$P126+$Q126)</f>
        <v/>
      </c>
      <c r="U126" s="21" t="str">
        <f aca="false">IF($L126&lt;&gt;"Planned","",$T126+$R126)</f>
        <v/>
      </c>
      <c r="V126" s="8" t="str">
        <f aca="false">IF($A126="","",SUMIFS('Open supply'!$C:$C,'Open supply'!$A:$A,$AF126))</f>
        <v/>
      </c>
      <c r="W126" s="8" t="str">
        <f aca="false">IF($A126="","",SUMIFS('Open supply'!$C:$C,'Open supply'!$A:$A,$AF126,'Open supply'!$B:$B,"&lt;"&amp;PlanDate))</f>
        <v/>
      </c>
      <c r="X126" s="8" t="str">
        <f aca="false">IF($A126="","",SUMIFS('Open demand'!$G:$G,'Open demand'!$A:$A,$AF126))</f>
        <v/>
      </c>
      <c r="Y126" s="8" t="str">
        <f aca="false">IF($L126&lt;&gt;"Planned","",N($H126)+$V126-$X126)</f>
        <v/>
      </c>
      <c r="Z126" s="19" t="str">
        <f aca="false">IF($L126&lt;&gt;"Planned","",IF($Y126&lt;=$S126,"Red",IF($Y126&lt;=$T126,"Yellow",IF($Y126&lt;=$U126,"Green","Above green"))))</f>
        <v/>
      </c>
      <c r="AA126" s="22" t="str">
        <f aca="false">IF(OR($L126&lt;&gt;"Planned",N($U126)&lt;=0),"",$Y126/$U126)</f>
        <v/>
      </c>
      <c r="AB126" s="8" t="str">
        <f aca="false">IF($L126&lt;&gt;"Planned","",IF($Y126&lt;=$T126,ROUNDUP(MAX($U126-$Y126,N($E126))/IF(N($F126)&gt;0,$F126,1)-0.000000001,0)*IF(N($F126)&gt;0,$F126,1),""))</f>
        <v/>
      </c>
      <c r="AC126" s="23" t="str">
        <f aca="false">IF(N($AB126)&gt;0,PlanDate+ROUNDUP($D126,0),"")</f>
        <v/>
      </c>
      <c r="AD126" s="19" t="str">
        <f aca="false">IF($L126&lt;&gt;"Planned","",IF(N($H126)&lt;=0,"Stockout",IF(N($H126)&lt;$S126*0.5,"Critical",IF(N($H126)&lt;=$S126,"Low",IF(N($H126)&gt;$U126,"Over top of green","OK")))))</f>
        <v/>
      </c>
      <c r="AE126" s="8" t="str">
        <f aca="false">IF($A126="","",$A126&amp;"")</f>
        <v/>
      </c>
      <c r="AF126" s="8" t="str">
        <f aca="false">IF($A126="","",SUBSTITUTE(SUBSTITUTE(SUBSTITUTE($A126&amp;"","~","~~"),"*","~*"),"?","~?"))</f>
        <v/>
      </c>
    </row>
    <row r="127" customFormat="false" ht="15" hidden="false" customHeight="false" outlineLevel="0" collapsed="false">
      <c r="A127" s="11"/>
      <c r="B127" s="11"/>
      <c r="C127" s="11"/>
      <c r="D127" s="16"/>
      <c r="E127" s="11"/>
      <c r="F127" s="11"/>
      <c r="G127" s="9"/>
      <c r="H127" s="11"/>
      <c r="I127" s="17"/>
      <c r="J127" s="18" t="str">
        <f aca="false">IF($A127="","",IF(COUNT(Usage!$C:$C)=0,"",MAX(0,SUMIFS(Usage!$C:$C,Usage!$A:$A,$AF127,Usage!$B:$B,"&gt;="&amp;(PlanDate-AduWindow),Usage!$B:$B,"&lt;"&amp;PlanDate))/AduWindow))</f>
        <v/>
      </c>
      <c r="K127" s="18" t="str">
        <f aca="false">IF($A127="","",IF(AND(ISNUMBER($I127),N($I127)&gt;=0),$I127,$J127))</f>
        <v/>
      </c>
      <c r="L127" s="19" t="str">
        <f aca="false">IF($A127="","",IF($K127="","Needs ADU",IF($K127&lt;=0,"No recent demand",IF(N($D127)&lt;=0,"Needs lead time","Planned"))))</f>
        <v/>
      </c>
      <c r="M127" s="8" t="str">
        <f aca="false">IF($A127="","",IF(ISNUMBER(MATCH($C127,Profiles!$A$2:$A$100,0)),$C127,DefaultProfile))</f>
        <v/>
      </c>
      <c r="N127" s="20" t="str">
        <f aca="false">IF($A127="","",INDEX(Profiles!$D$2:$D$100,MATCH($M127,Profiles!$A$2:$A$100,0)))</f>
        <v/>
      </c>
      <c r="O127" s="20" t="str">
        <f aca="false">IF($A127="","",INDEX(Profiles!$E$2:$E$100,MATCH($M127,Profiles!$A$2:$A$100,0)))</f>
        <v/>
      </c>
      <c r="P127" s="21" t="str">
        <f aca="false">IF($L127&lt;&gt;"Planned","",$K127*$D127*$N127*(1+$O127))</f>
        <v/>
      </c>
      <c r="Q127" s="21" t="str">
        <f aca="false">IF($L127&lt;&gt;"Planned","",$K127*$D127)</f>
        <v/>
      </c>
      <c r="R127" s="21" t="str">
        <f aca="false">IF($L127&lt;&gt;"Planned","",MAX(N($E127),$K127*$D127*$N127,$K127*N($G127)))</f>
        <v/>
      </c>
      <c r="S127" s="21" t="str">
        <f aca="false">IF($L127&lt;&gt;"Planned","",$P127)</f>
        <v/>
      </c>
      <c r="T127" s="21" t="str">
        <f aca="false">IF($L127&lt;&gt;"Planned","",$P127+$Q127)</f>
        <v/>
      </c>
      <c r="U127" s="21" t="str">
        <f aca="false">IF($L127&lt;&gt;"Planned","",$T127+$R127)</f>
        <v/>
      </c>
      <c r="V127" s="8" t="str">
        <f aca="false">IF($A127="","",SUMIFS('Open supply'!$C:$C,'Open supply'!$A:$A,$AF127))</f>
        <v/>
      </c>
      <c r="W127" s="8" t="str">
        <f aca="false">IF($A127="","",SUMIFS('Open supply'!$C:$C,'Open supply'!$A:$A,$AF127,'Open supply'!$B:$B,"&lt;"&amp;PlanDate))</f>
        <v/>
      </c>
      <c r="X127" s="8" t="str">
        <f aca="false">IF($A127="","",SUMIFS('Open demand'!$G:$G,'Open demand'!$A:$A,$AF127))</f>
        <v/>
      </c>
      <c r="Y127" s="8" t="str">
        <f aca="false">IF($L127&lt;&gt;"Planned","",N($H127)+$V127-$X127)</f>
        <v/>
      </c>
      <c r="Z127" s="19" t="str">
        <f aca="false">IF($L127&lt;&gt;"Planned","",IF($Y127&lt;=$S127,"Red",IF($Y127&lt;=$T127,"Yellow",IF($Y127&lt;=$U127,"Green","Above green"))))</f>
        <v/>
      </c>
      <c r="AA127" s="22" t="str">
        <f aca="false">IF(OR($L127&lt;&gt;"Planned",N($U127)&lt;=0),"",$Y127/$U127)</f>
        <v/>
      </c>
      <c r="AB127" s="8" t="str">
        <f aca="false">IF($L127&lt;&gt;"Planned","",IF($Y127&lt;=$T127,ROUNDUP(MAX($U127-$Y127,N($E127))/IF(N($F127)&gt;0,$F127,1)-0.000000001,0)*IF(N($F127)&gt;0,$F127,1),""))</f>
        <v/>
      </c>
      <c r="AC127" s="23" t="str">
        <f aca="false">IF(N($AB127)&gt;0,PlanDate+ROUNDUP($D127,0),"")</f>
        <v/>
      </c>
      <c r="AD127" s="19" t="str">
        <f aca="false">IF($L127&lt;&gt;"Planned","",IF(N($H127)&lt;=0,"Stockout",IF(N($H127)&lt;$S127*0.5,"Critical",IF(N($H127)&lt;=$S127,"Low",IF(N($H127)&gt;$U127,"Over top of green","OK")))))</f>
        <v/>
      </c>
      <c r="AE127" s="8" t="str">
        <f aca="false">IF($A127="","",$A127&amp;"")</f>
        <v/>
      </c>
      <c r="AF127" s="8" t="str">
        <f aca="false">IF($A127="","",SUBSTITUTE(SUBSTITUTE(SUBSTITUTE($A127&amp;"","~","~~"),"*","~*"),"?","~?"))</f>
        <v/>
      </c>
    </row>
    <row r="128" customFormat="false" ht="15" hidden="false" customHeight="false" outlineLevel="0" collapsed="false">
      <c r="A128" s="11"/>
      <c r="B128" s="11"/>
      <c r="C128" s="11"/>
      <c r="D128" s="16"/>
      <c r="E128" s="11"/>
      <c r="F128" s="11"/>
      <c r="G128" s="9"/>
      <c r="H128" s="11"/>
      <c r="I128" s="17"/>
      <c r="J128" s="18" t="str">
        <f aca="false">IF($A128="","",IF(COUNT(Usage!$C:$C)=0,"",MAX(0,SUMIFS(Usage!$C:$C,Usage!$A:$A,$AF128,Usage!$B:$B,"&gt;="&amp;(PlanDate-AduWindow),Usage!$B:$B,"&lt;"&amp;PlanDate))/AduWindow))</f>
        <v/>
      </c>
      <c r="K128" s="18" t="str">
        <f aca="false">IF($A128="","",IF(AND(ISNUMBER($I128),N($I128)&gt;=0),$I128,$J128))</f>
        <v/>
      </c>
      <c r="L128" s="19" t="str">
        <f aca="false">IF($A128="","",IF($K128="","Needs ADU",IF($K128&lt;=0,"No recent demand",IF(N($D128)&lt;=0,"Needs lead time","Planned"))))</f>
        <v/>
      </c>
      <c r="M128" s="8" t="str">
        <f aca="false">IF($A128="","",IF(ISNUMBER(MATCH($C128,Profiles!$A$2:$A$100,0)),$C128,DefaultProfile))</f>
        <v/>
      </c>
      <c r="N128" s="20" t="str">
        <f aca="false">IF($A128="","",INDEX(Profiles!$D$2:$D$100,MATCH($M128,Profiles!$A$2:$A$100,0)))</f>
        <v/>
      </c>
      <c r="O128" s="20" t="str">
        <f aca="false">IF($A128="","",INDEX(Profiles!$E$2:$E$100,MATCH($M128,Profiles!$A$2:$A$100,0)))</f>
        <v/>
      </c>
      <c r="P128" s="21" t="str">
        <f aca="false">IF($L128&lt;&gt;"Planned","",$K128*$D128*$N128*(1+$O128))</f>
        <v/>
      </c>
      <c r="Q128" s="21" t="str">
        <f aca="false">IF($L128&lt;&gt;"Planned","",$K128*$D128)</f>
        <v/>
      </c>
      <c r="R128" s="21" t="str">
        <f aca="false">IF($L128&lt;&gt;"Planned","",MAX(N($E128),$K128*$D128*$N128,$K128*N($G128)))</f>
        <v/>
      </c>
      <c r="S128" s="21" t="str">
        <f aca="false">IF($L128&lt;&gt;"Planned","",$P128)</f>
        <v/>
      </c>
      <c r="T128" s="21" t="str">
        <f aca="false">IF($L128&lt;&gt;"Planned","",$P128+$Q128)</f>
        <v/>
      </c>
      <c r="U128" s="21" t="str">
        <f aca="false">IF($L128&lt;&gt;"Planned","",$T128+$R128)</f>
        <v/>
      </c>
      <c r="V128" s="8" t="str">
        <f aca="false">IF($A128="","",SUMIFS('Open supply'!$C:$C,'Open supply'!$A:$A,$AF128))</f>
        <v/>
      </c>
      <c r="W128" s="8" t="str">
        <f aca="false">IF($A128="","",SUMIFS('Open supply'!$C:$C,'Open supply'!$A:$A,$AF128,'Open supply'!$B:$B,"&lt;"&amp;PlanDate))</f>
        <v/>
      </c>
      <c r="X128" s="8" t="str">
        <f aca="false">IF($A128="","",SUMIFS('Open demand'!$G:$G,'Open demand'!$A:$A,$AF128))</f>
        <v/>
      </c>
      <c r="Y128" s="8" t="str">
        <f aca="false">IF($L128&lt;&gt;"Planned","",N($H128)+$V128-$X128)</f>
        <v/>
      </c>
      <c r="Z128" s="19" t="str">
        <f aca="false">IF($L128&lt;&gt;"Planned","",IF($Y128&lt;=$S128,"Red",IF($Y128&lt;=$T128,"Yellow",IF($Y128&lt;=$U128,"Green","Above green"))))</f>
        <v/>
      </c>
      <c r="AA128" s="22" t="str">
        <f aca="false">IF(OR($L128&lt;&gt;"Planned",N($U128)&lt;=0),"",$Y128/$U128)</f>
        <v/>
      </c>
      <c r="AB128" s="8" t="str">
        <f aca="false">IF($L128&lt;&gt;"Planned","",IF($Y128&lt;=$T128,ROUNDUP(MAX($U128-$Y128,N($E128))/IF(N($F128)&gt;0,$F128,1)-0.000000001,0)*IF(N($F128)&gt;0,$F128,1),""))</f>
        <v/>
      </c>
      <c r="AC128" s="23" t="str">
        <f aca="false">IF(N($AB128)&gt;0,PlanDate+ROUNDUP($D128,0),"")</f>
        <v/>
      </c>
      <c r="AD128" s="19" t="str">
        <f aca="false">IF($L128&lt;&gt;"Planned","",IF(N($H128)&lt;=0,"Stockout",IF(N($H128)&lt;$S128*0.5,"Critical",IF(N($H128)&lt;=$S128,"Low",IF(N($H128)&gt;$U128,"Over top of green","OK")))))</f>
        <v/>
      </c>
      <c r="AE128" s="8" t="str">
        <f aca="false">IF($A128="","",$A128&amp;"")</f>
        <v/>
      </c>
      <c r="AF128" s="8" t="str">
        <f aca="false">IF($A128="","",SUBSTITUTE(SUBSTITUTE(SUBSTITUTE($A128&amp;"","~","~~"),"*","~*"),"?","~?"))</f>
        <v/>
      </c>
    </row>
    <row r="129" customFormat="false" ht="15" hidden="false" customHeight="false" outlineLevel="0" collapsed="false">
      <c r="A129" s="11"/>
      <c r="B129" s="11"/>
      <c r="C129" s="11"/>
      <c r="D129" s="16"/>
      <c r="E129" s="11"/>
      <c r="F129" s="11"/>
      <c r="G129" s="9"/>
      <c r="H129" s="11"/>
      <c r="I129" s="17"/>
      <c r="J129" s="18" t="str">
        <f aca="false">IF($A129="","",IF(COUNT(Usage!$C:$C)=0,"",MAX(0,SUMIFS(Usage!$C:$C,Usage!$A:$A,$AF129,Usage!$B:$B,"&gt;="&amp;(PlanDate-AduWindow),Usage!$B:$B,"&lt;"&amp;PlanDate))/AduWindow))</f>
        <v/>
      </c>
      <c r="K129" s="18" t="str">
        <f aca="false">IF($A129="","",IF(AND(ISNUMBER($I129),N($I129)&gt;=0),$I129,$J129))</f>
        <v/>
      </c>
      <c r="L129" s="19" t="str">
        <f aca="false">IF($A129="","",IF($K129="","Needs ADU",IF($K129&lt;=0,"No recent demand",IF(N($D129)&lt;=0,"Needs lead time","Planned"))))</f>
        <v/>
      </c>
      <c r="M129" s="8" t="str">
        <f aca="false">IF($A129="","",IF(ISNUMBER(MATCH($C129,Profiles!$A$2:$A$100,0)),$C129,DefaultProfile))</f>
        <v/>
      </c>
      <c r="N129" s="20" t="str">
        <f aca="false">IF($A129="","",INDEX(Profiles!$D$2:$D$100,MATCH($M129,Profiles!$A$2:$A$100,0)))</f>
        <v/>
      </c>
      <c r="O129" s="20" t="str">
        <f aca="false">IF($A129="","",INDEX(Profiles!$E$2:$E$100,MATCH($M129,Profiles!$A$2:$A$100,0)))</f>
        <v/>
      </c>
      <c r="P129" s="21" t="str">
        <f aca="false">IF($L129&lt;&gt;"Planned","",$K129*$D129*$N129*(1+$O129))</f>
        <v/>
      </c>
      <c r="Q129" s="21" t="str">
        <f aca="false">IF($L129&lt;&gt;"Planned","",$K129*$D129)</f>
        <v/>
      </c>
      <c r="R129" s="21" t="str">
        <f aca="false">IF($L129&lt;&gt;"Planned","",MAX(N($E129),$K129*$D129*$N129,$K129*N($G129)))</f>
        <v/>
      </c>
      <c r="S129" s="21" t="str">
        <f aca="false">IF($L129&lt;&gt;"Planned","",$P129)</f>
        <v/>
      </c>
      <c r="T129" s="21" t="str">
        <f aca="false">IF($L129&lt;&gt;"Planned","",$P129+$Q129)</f>
        <v/>
      </c>
      <c r="U129" s="21" t="str">
        <f aca="false">IF($L129&lt;&gt;"Planned","",$T129+$R129)</f>
        <v/>
      </c>
      <c r="V129" s="8" t="str">
        <f aca="false">IF($A129="","",SUMIFS('Open supply'!$C:$C,'Open supply'!$A:$A,$AF129))</f>
        <v/>
      </c>
      <c r="W129" s="8" t="str">
        <f aca="false">IF($A129="","",SUMIFS('Open supply'!$C:$C,'Open supply'!$A:$A,$AF129,'Open supply'!$B:$B,"&lt;"&amp;PlanDate))</f>
        <v/>
      </c>
      <c r="X129" s="8" t="str">
        <f aca="false">IF($A129="","",SUMIFS('Open demand'!$G:$G,'Open demand'!$A:$A,$AF129))</f>
        <v/>
      </c>
      <c r="Y129" s="8" t="str">
        <f aca="false">IF($L129&lt;&gt;"Planned","",N($H129)+$V129-$X129)</f>
        <v/>
      </c>
      <c r="Z129" s="19" t="str">
        <f aca="false">IF($L129&lt;&gt;"Planned","",IF($Y129&lt;=$S129,"Red",IF($Y129&lt;=$T129,"Yellow",IF($Y129&lt;=$U129,"Green","Above green"))))</f>
        <v/>
      </c>
      <c r="AA129" s="22" t="str">
        <f aca="false">IF(OR($L129&lt;&gt;"Planned",N($U129)&lt;=0),"",$Y129/$U129)</f>
        <v/>
      </c>
      <c r="AB129" s="8" t="str">
        <f aca="false">IF($L129&lt;&gt;"Planned","",IF($Y129&lt;=$T129,ROUNDUP(MAX($U129-$Y129,N($E129))/IF(N($F129)&gt;0,$F129,1)-0.000000001,0)*IF(N($F129)&gt;0,$F129,1),""))</f>
        <v/>
      </c>
      <c r="AC129" s="23" t="str">
        <f aca="false">IF(N($AB129)&gt;0,PlanDate+ROUNDUP($D129,0),"")</f>
        <v/>
      </c>
      <c r="AD129" s="19" t="str">
        <f aca="false">IF($L129&lt;&gt;"Planned","",IF(N($H129)&lt;=0,"Stockout",IF(N($H129)&lt;$S129*0.5,"Critical",IF(N($H129)&lt;=$S129,"Low",IF(N($H129)&gt;$U129,"Over top of green","OK")))))</f>
        <v/>
      </c>
      <c r="AE129" s="8" t="str">
        <f aca="false">IF($A129="","",$A129&amp;"")</f>
        <v/>
      </c>
      <c r="AF129" s="8" t="str">
        <f aca="false">IF($A129="","",SUBSTITUTE(SUBSTITUTE(SUBSTITUTE($A129&amp;"","~","~~"),"*","~*"),"?","~?"))</f>
        <v/>
      </c>
    </row>
    <row r="130" customFormat="false" ht="15" hidden="false" customHeight="false" outlineLevel="0" collapsed="false">
      <c r="A130" s="11"/>
      <c r="B130" s="11"/>
      <c r="C130" s="11"/>
      <c r="D130" s="16"/>
      <c r="E130" s="11"/>
      <c r="F130" s="11"/>
      <c r="G130" s="9"/>
      <c r="H130" s="11"/>
      <c r="I130" s="17"/>
      <c r="J130" s="18" t="str">
        <f aca="false">IF($A130="","",IF(COUNT(Usage!$C:$C)=0,"",MAX(0,SUMIFS(Usage!$C:$C,Usage!$A:$A,$AF130,Usage!$B:$B,"&gt;="&amp;(PlanDate-AduWindow),Usage!$B:$B,"&lt;"&amp;PlanDate))/AduWindow))</f>
        <v/>
      </c>
      <c r="K130" s="18" t="str">
        <f aca="false">IF($A130="","",IF(AND(ISNUMBER($I130),N($I130)&gt;=0),$I130,$J130))</f>
        <v/>
      </c>
      <c r="L130" s="19" t="str">
        <f aca="false">IF($A130="","",IF($K130="","Needs ADU",IF($K130&lt;=0,"No recent demand",IF(N($D130)&lt;=0,"Needs lead time","Planned"))))</f>
        <v/>
      </c>
      <c r="M130" s="8" t="str">
        <f aca="false">IF($A130="","",IF(ISNUMBER(MATCH($C130,Profiles!$A$2:$A$100,0)),$C130,DefaultProfile))</f>
        <v/>
      </c>
      <c r="N130" s="20" t="str">
        <f aca="false">IF($A130="","",INDEX(Profiles!$D$2:$D$100,MATCH($M130,Profiles!$A$2:$A$100,0)))</f>
        <v/>
      </c>
      <c r="O130" s="20" t="str">
        <f aca="false">IF($A130="","",INDEX(Profiles!$E$2:$E$100,MATCH($M130,Profiles!$A$2:$A$100,0)))</f>
        <v/>
      </c>
      <c r="P130" s="21" t="str">
        <f aca="false">IF($L130&lt;&gt;"Planned","",$K130*$D130*$N130*(1+$O130))</f>
        <v/>
      </c>
      <c r="Q130" s="21" t="str">
        <f aca="false">IF($L130&lt;&gt;"Planned","",$K130*$D130)</f>
        <v/>
      </c>
      <c r="R130" s="21" t="str">
        <f aca="false">IF($L130&lt;&gt;"Planned","",MAX(N($E130),$K130*$D130*$N130,$K130*N($G130)))</f>
        <v/>
      </c>
      <c r="S130" s="21" t="str">
        <f aca="false">IF($L130&lt;&gt;"Planned","",$P130)</f>
        <v/>
      </c>
      <c r="T130" s="21" t="str">
        <f aca="false">IF($L130&lt;&gt;"Planned","",$P130+$Q130)</f>
        <v/>
      </c>
      <c r="U130" s="21" t="str">
        <f aca="false">IF($L130&lt;&gt;"Planned","",$T130+$R130)</f>
        <v/>
      </c>
      <c r="V130" s="8" t="str">
        <f aca="false">IF($A130="","",SUMIFS('Open supply'!$C:$C,'Open supply'!$A:$A,$AF130))</f>
        <v/>
      </c>
      <c r="W130" s="8" t="str">
        <f aca="false">IF($A130="","",SUMIFS('Open supply'!$C:$C,'Open supply'!$A:$A,$AF130,'Open supply'!$B:$B,"&lt;"&amp;PlanDate))</f>
        <v/>
      </c>
      <c r="X130" s="8" t="str">
        <f aca="false">IF($A130="","",SUMIFS('Open demand'!$G:$G,'Open demand'!$A:$A,$AF130))</f>
        <v/>
      </c>
      <c r="Y130" s="8" t="str">
        <f aca="false">IF($L130&lt;&gt;"Planned","",N($H130)+$V130-$X130)</f>
        <v/>
      </c>
      <c r="Z130" s="19" t="str">
        <f aca="false">IF($L130&lt;&gt;"Planned","",IF($Y130&lt;=$S130,"Red",IF($Y130&lt;=$T130,"Yellow",IF($Y130&lt;=$U130,"Green","Above green"))))</f>
        <v/>
      </c>
      <c r="AA130" s="22" t="str">
        <f aca="false">IF(OR($L130&lt;&gt;"Planned",N($U130)&lt;=0),"",$Y130/$U130)</f>
        <v/>
      </c>
      <c r="AB130" s="8" t="str">
        <f aca="false">IF($L130&lt;&gt;"Planned","",IF($Y130&lt;=$T130,ROUNDUP(MAX($U130-$Y130,N($E130))/IF(N($F130)&gt;0,$F130,1)-0.000000001,0)*IF(N($F130)&gt;0,$F130,1),""))</f>
        <v/>
      </c>
      <c r="AC130" s="23" t="str">
        <f aca="false">IF(N($AB130)&gt;0,PlanDate+ROUNDUP($D130,0),"")</f>
        <v/>
      </c>
      <c r="AD130" s="19" t="str">
        <f aca="false">IF($L130&lt;&gt;"Planned","",IF(N($H130)&lt;=0,"Stockout",IF(N($H130)&lt;$S130*0.5,"Critical",IF(N($H130)&lt;=$S130,"Low",IF(N($H130)&gt;$U130,"Over top of green","OK")))))</f>
        <v/>
      </c>
      <c r="AE130" s="8" t="str">
        <f aca="false">IF($A130="","",$A130&amp;"")</f>
        <v/>
      </c>
      <c r="AF130" s="8" t="str">
        <f aca="false">IF($A130="","",SUBSTITUTE(SUBSTITUTE(SUBSTITUTE($A130&amp;"","~","~~"),"*","~*"),"?","~?"))</f>
        <v/>
      </c>
    </row>
    <row r="131" customFormat="false" ht="15" hidden="false" customHeight="false" outlineLevel="0" collapsed="false">
      <c r="A131" s="11"/>
      <c r="B131" s="11"/>
      <c r="C131" s="11"/>
      <c r="D131" s="16"/>
      <c r="E131" s="11"/>
      <c r="F131" s="11"/>
      <c r="G131" s="9"/>
      <c r="H131" s="11"/>
      <c r="I131" s="17"/>
      <c r="J131" s="18" t="str">
        <f aca="false">IF($A131="","",IF(COUNT(Usage!$C:$C)=0,"",MAX(0,SUMIFS(Usage!$C:$C,Usage!$A:$A,$AF131,Usage!$B:$B,"&gt;="&amp;(PlanDate-AduWindow),Usage!$B:$B,"&lt;"&amp;PlanDate))/AduWindow))</f>
        <v/>
      </c>
      <c r="K131" s="18" t="str">
        <f aca="false">IF($A131="","",IF(AND(ISNUMBER($I131),N($I131)&gt;=0),$I131,$J131))</f>
        <v/>
      </c>
      <c r="L131" s="19" t="str">
        <f aca="false">IF($A131="","",IF($K131="","Needs ADU",IF($K131&lt;=0,"No recent demand",IF(N($D131)&lt;=0,"Needs lead time","Planned"))))</f>
        <v/>
      </c>
      <c r="M131" s="8" t="str">
        <f aca="false">IF($A131="","",IF(ISNUMBER(MATCH($C131,Profiles!$A$2:$A$100,0)),$C131,DefaultProfile))</f>
        <v/>
      </c>
      <c r="N131" s="20" t="str">
        <f aca="false">IF($A131="","",INDEX(Profiles!$D$2:$D$100,MATCH($M131,Profiles!$A$2:$A$100,0)))</f>
        <v/>
      </c>
      <c r="O131" s="20" t="str">
        <f aca="false">IF($A131="","",INDEX(Profiles!$E$2:$E$100,MATCH($M131,Profiles!$A$2:$A$100,0)))</f>
        <v/>
      </c>
      <c r="P131" s="21" t="str">
        <f aca="false">IF($L131&lt;&gt;"Planned","",$K131*$D131*$N131*(1+$O131))</f>
        <v/>
      </c>
      <c r="Q131" s="21" t="str">
        <f aca="false">IF($L131&lt;&gt;"Planned","",$K131*$D131)</f>
        <v/>
      </c>
      <c r="R131" s="21" t="str">
        <f aca="false">IF($L131&lt;&gt;"Planned","",MAX(N($E131),$K131*$D131*$N131,$K131*N($G131)))</f>
        <v/>
      </c>
      <c r="S131" s="21" t="str">
        <f aca="false">IF($L131&lt;&gt;"Planned","",$P131)</f>
        <v/>
      </c>
      <c r="T131" s="21" t="str">
        <f aca="false">IF($L131&lt;&gt;"Planned","",$P131+$Q131)</f>
        <v/>
      </c>
      <c r="U131" s="21" t="str">
        <f aca="false">IF($L131&lt;&gt;"Planned","",$T131+$R131)</f>
        <v/>
      </c>
      <c r="V131" s="8" t="str">
        <f aca="false">IF($A131="","",SUMIFS('Open supply'!$C:$C,'Open supply'!$A:$A,$AF131))</f>
        <v/>
      </c>
      <c r="W131" s="8" t="str">
        <f aca="false">IF($A131="","",SUMIFS('Open supply'!$C:$C,'Open supply'!$A:$A,$AF131,'Open supply'!$B:$B,"&lt;"&amp;PlanDate))</f>
        <v/>
      </c>
      <c r="X131" s="8" t="str">
        <f aca="false">IF($A131="","",SUMIFS('Open demand'!$G:$G,'Open demand'!$A:$A,$AF131))</f>
        <v/>
      </c>
      <c r="Y131" s="8" t="str">
        <f aca="false">IF($L131&lt;&gt;"Planned","",N($H131)+$V131-$X131)</f>
        <v/>
      </c>
      <c r="Z131" s="19" t="str">
        <f aca="false">IF($L131&lt;&gt;"Planned","",IF($Y131&lt;=$S131,"Red",IF($Y131&lt;=$T131,"Yellow",IF($Y131&lt;=$U131,"Green","Above green"))))</f>
        <v/>
      </c>
      <c r="AA131" s="22" t="str">
        <f aca="false">IF(OR($L131&lt;&gt;"Planned",N($U131)&lt;=0),"",$Y131/$U131)</f>
        <v/>
      </c>
      <c r="AB131" s="8" t="str">
        <f aca="false">IF($L131&lt;&gt;"Planned","",IF($Y131&lt;=$T131,ROUNDUP(MAX($U131-$Y131,N($E131))/IF(N($F131)&gt;0,$F131,1)-0.000000001,0)*IF(N($F131)&gt;0,$F131,1),""))</f>
        <v/>
      </c>
      <c r="AC131" s="23" t="str">
        <f aca="false">IF(N($AB131)&gt;0,PlanDate+ROUNDUP($D131,0),"")</f>
        <v/>
      </c>
      <c r="AD131" s="19" t="str">
        <f aca="false">IF($L131&lt;&gt;"Planned","",IF(N($H131)&lt;=0,"Stockout",IF(N($H131)&lt;$S131*0.5,"Critical",IF(N($H131)&lt;=$S131,"Low",IF(N($H131)&gt;$U131,"Over top of green","OK")))))</f>
        <v/>
      </c>
      <c r="AE131" s="8" t="str">
        <f aca="false">IF($A131="","",$A131&amp;"")</f>
        <v/>
      </c>
      <c r="AF131" s="8" t="str">
        <f aca="false">IF($A131="","",SUBSTITUTE(SUBSTITUTE(SUBSTITUTE($A131&amp;"","~","~~"),"*","~*"),"?","~?"))</f>
        <v/>
      </c>
    </row>
    <row r="132" customFormat="false" ht="15" hidden="false" customHeight="false" outlineLevel="0" collapsed="false">
      <c r="A132" s="11"/>
      <c r="B132" s="11"/>
      <c r="C132" s="11"/>
      <c r="D132" s="16"/>
      <c r="E132" s="11"/>
      <c r="F132" s="11"/>
      <c r="G132" s="9"/>
      <c r="H132" s="11"/>
      <c r="I132" s="17"/>
      <c r="J132" s="18" t="str">
        <f aca="false">IF($A132="","",IF(COUNT(Usage!$C:$C)=0,"",MAX(0,SUMIFS(Usage!$C:$C,Usage!$A:$A,$AF132,Usage!$B:$B,"&gt;="&amp;(PlanDate-AduWindow),Usage!$B:$B,"&lt;"&amp;PlanDate))/AduWindow))</f>
        <v/>
      </c>
      <c r="K132" s="18" t="str">
        <f aca="false">IF($A132="","",IF(AND(ISNUMBER($I132),N($I132)&gt;=0),$I132,$J132))</f>
        <v/>
      </c>
      <c r="L132" s="19" t="str">
        <f aca="false">IF($A132="","",IF($K132="","Needs ADU",IF($K132&lt;=0,"No recent demand",IF(N($D132)&lt;=0,"Needs lead time","Planned"))))</f>
        <v/>
      </c>
      <c r="M132" s="8" t="str">
        <f aca="false">IF($A132="","",IF(ISNUMBER(MATCH($C132,Profiles!$A$2:$A$100,0)),$C132,DefaultProfile))</f>
        <v/>
      </c>
      <c r="N132" s="20" t="str">
        <f aca="false">IF($A132="","",INDEX(Profiles!$D$2:$D$100,MATCH($M132,Profiles!$A$2:$A$100,0)))</f>
        <v/>
      </c>
      <c r="O132" s="20" t="str">
        <f aca="false">IF($A132="","",INDEX(Profiles!$E$2:$E$100,MATCH($M132,Profiles!$A$2:$A$100,0)))</f>
        <v/>
      </c>
      <c r="P132" s="21" t="str">
        <f aca="false">IF($L132&lt;&gt;"Planned","",$K132*$D132*$N132*(1+$O132))</f>
        <v/>
      </c>
      <c r="Q132" s="21" t="str">
        <f aca="false">IF($L132&lt;&gt;"Planned","",$K132*$D132)</f>
        <v/>
      </c>
      <c r="R132" s="21" t="str">
        <f aca="false">IF($L132&lt;&gt;"Planned","",MAX(N($E132),$K132*$D132*$N132,$K132*N($G132)))</f>
        <v/>
      </c>
      <c r="S132" s="21" t="str">
        <f aca="false">IF($L132&lt;&gt;"Planned","",$P132)</f>
        <v/>
      </c>
      <c r="T132" s="21" t="str">
        <f aca="false">IF($L132&lt;&gt;"Planned","",$P132+$Q132)</f>
        <v/>
      </c>
      <c r="U132" s="21" t="str">
        <f aca="false">IF($L132&lt;&gt;"Planned","",$T132+$R132)</f>
        <v/>
      </c>
      <c r="V132" s="8" t="str">
        <f aca="false">IF($A132="","",SUMIFS('Open supply'!$C:$C,'Open supply'!$A:$A,$AF132))</f>
        <v/>
      </c>
      <c r="W132" s="8" t="str">
        <f aca="false">IF($A132="","",SUMIFS('Open supply'!$C:$C,'Open supply'!$A:$A,$AF132,'Open supply'!$B:$B,"&lt;"&amp;PlanDate))</f>
        <v/>
      </c>
      <c r="X132" s="8" t="str">
        <f aca="false">IF($A132="","",SUMIFS('Open demand'!$G:$G,'Open demand'!$A:$A,$AF132))</f>
        <v/>
      </c>
      <c r="Y132" s="8" t="str">
        <f aca="false">IF($L132&lt;&gt;"Planned","",N($H132)+$V132-$X132)</f>
        <v/>
      </c>
      <c r="Z132" s="19" t="str">
        <f aca="false">IF($L132&lt;&gt;"Planned","",IF($Y132&lt;=$S132,"Red",IF($Y132&lt;=$T132,"Yellow",IF($Y132&lt;=$U132,"Green","Above green"))))</f>
        <v/>
      </c>
      <c r="AA132" s="22" t="str">
        <f aca="false">IF(OR($L132&lt;&gt;"Planned",N($U132)&lt;=0),"",$Y132/$U132)</f>
        <v/>
      </c>
      <c r="AB132" s="8" t="str">
        <f aca="false">IF($L132&lt;&gt;"Planned","",IF($Y132&lt;=$T132,ROUNDUP(MAX($U132-$Y132,N($E132))/IF(N($F132)&gt;0,$F132,1)-0.000000001,0)*IF(N($F132)&gt;0,$F132,1),""))</f>
        <v/>
      </c>
      <c r="AC132" s="23" t="str">
        <f aca="false">IF(N($AB132)&gt;0,PlanDate+ROUNDUP($D132,0),"")</f>
        <v/>
      </c>
      <c r="AD132" s="19" t="str">
        <f aca="false">IF($L132&lt;&gt;"Planned","",IF(N($H132)&lt;=0,"Stockout",IF(N($H132)&lt;$S132*0.5,"Critical",IF(N($H132)&lt;=$S132,"Low",IF(N($H132)&gt;$U132,"Over top of green","OK")))))</f>
        <v/>
      </c>
      <c r="AE132" s="8" t="str">
        <f aca="false">IF($A132="","",$A132&amp;"")</f>
        <v/>
      </c>
      <c r="AF132" s="8" t="str">
        <f aca="false">IF($A132="","",SUBSTITUTE(SUBSTITUTE(SUBSTITUTE($A132&amp;"","~","~~"),"*","~*"),"?","~?"))</f>
        <v/>
      </c>
    </row>
    <row r="133" customFormat="false" ht="15" hidden="false" customHeight="false" outlineLevel="0" collapsed="false">
      <c r="A133" s="11"/>
      <c r="B133" s="11"/>
      <c r="C133" s="11"/>
      <c r="D133" s="16"/>
      <c r="E133" s="11"/>
      <c r="F133" s="11"/>
      <c r="G133" s="9"/>
      <c r="H133" s="11"/>
      <c r="I133" s="17"/>
      <c r="J133" s="18" t="str">
        <f aca="false">IF($A133="","",IF(COUNT(Usage!$C:$C)=0,"",MAX(0,SUMIFS(Usage!$C:$C,Usage!$A:$A,$AF133,Usage!$B:$B,"&gt;="&amp;(PlanDate-AduWindow),Usage!$B:$B,"&lt;"&amp;PlanDate))/AduWindow))</f>
        <v/>
      </c>
      <c r="K133" s="18" t="str">
        <f aca="false">IF($A133="","",IF(AND(ISNUMBER($I133),N($I133)&gt;=0),$I133,$J133))</f>
        <v/>
      </c>
      <c r="L133" s="19" t="str">
        <f aca="false">IF($A133="","",IF($K133="","Needs ADU",IF($K133&lt;=0,"No recent demand",IF(N($D133)&lt;=0,"Needs lead time","Planned"))))</f>
        <v/>
      </c>
      <c r="M133" s="8" t="str">
        <f aca="false">IF($A133="","",IF(ISNUMBER(MATCH($C133,Profiles!$A$2:$A$100,0)),$C133,DefaultProfile))</f>
        <v/>
      </c>
      <c r="N133" s="20" t="str">
        <f aca="false">IF($A133="","",INDEX(Profiles!$D$2:$D$100,MATCH($M133,Profiles!$A$2:$A$100,0)))</f>
        <v/>
      </c>
      <c r="O133" s="20" t="str">
        <f aca="false">IF($A133="","",INDEX(Profiles!$E$2:$E$100,MATCH($M133,Profiles!$A$2:$A$100,0)))</f>
        <v/>
      </c>
      <c r="P133" s="21" t="str">
        <f aca="false">IF($L133&lt;&gt;"Planned","",$K133*$D133*$N133*(1+$O133))</f>
        <v/>
      </c>
      <c r="Q133" s="21" t="str">
        <f aca="false">IF($L133&lt;&gt;"Planned","",$K133*$D133)</f>
        <v/>
      </c>
      <c r="R133" s="21" t="str">
        <f aca="false">IF($L133&lt;&gt;"Planned","",MAX(N($E133),$K133*$D133*$N133,$K133*N($G133)))</f>
        <v/>
      </c>
      <c r="S133" s="21" t="str">
        <f aca="false">IF($L133&lt;&gt;"Planned","",$P133)</f>
        <v/>
      </c>
      <c r="T133" s="21" t="str">
        <f aca="false">IF($L133&lt;&gt;"Planned","",$P133+$Q133)</f>
        <v/>
      </c>
      <c r="U133" s="21" t="str">
        <f aca="false">IF($L133&lt;&gt;"Planned","",$T133+$R133)</f>
        <v/>
      </c>
      <c r="V133" s="8" t="str">
        <f aca="false">IF($A133="","",SUMIFS('Open supply'!$C:$C,'Open supply'!$A:$A,$AF133))</f>
        <v/>
      </c>
      <c r="W133" s="8" t="str">
        <f aca="false">IF($A133="","",SUMIFS('Open supply'!$C:$C,'Open supply'!$A:$A,$AF133,'Open supply'!$B:$B,"&lt;"&amp;PlanDate))</f>
        <v/>
      </c>
      <c r="X133" s="8" t="str">
        <f aca="false">IF($A133="","",SUMIFS('Open demand'!$G:$G,'Open demand'!$A:$A,$AF133))</f>
        <v/>
      </c>
      <c r="Y133" s="8" t="str">
        <f aca="false">IF($L133&lt;&gt;"Planned","",N($H133)+$V133-$X133)</f>
        <v/>
      </c>
      <c r="Z133" s="19" t="str">
        <f aca="false">IF($L133&lt;&gt;"Planned","",IF($Y133&lt;=$S133,"Red",IF($Y133&lt;=$T133,"Yellow",IF($Y133&lt;=$U133,"Green","Above green"))))</f>
        <v/>
      </c>
      <c r="AA133" s="22" t="str">
        <f aca="false">IF(OR($L133&lt;&gt;"Planned",N($U133)&lt;=0),"",$Y133/$U133)</f>
        <v/>
      </c>
      <c r="AB133" s="8" t="str">
        <f aca="false">IF($L133&lt;&gt;"Planned","",IF($Y133&lt;=$T133,ROUNDUP(MAX($U133-$Y133,N($E133))/IF(N($F133)&gt;0,$F133,1)-0.000000001,0)*IF(N($F133)&gt;0,$F133,1),""))</f>
        <v/>
      </c>
      <c r="AC133" s="23" t="str">
        <f aca="false">IF(N($AB133)&gt;0,PlanDate+ROUNDUP($D133,0),"")</f>
        <v/>
      </c>
      <c r="AD133" s="19" t="str">
        <f aca="false">IF($L133&lt;&gt;"Planned","",IF(N($H133)&lt;=0,"Stockout",IF(N($H133)&lt;$S133*0.5,"Critical",IF(N($H133)&lt;=$S133,"Low",IF(N($H133)&gt;$U133,"Over top of green","OK")))))</f>
        <v/>
      </c>
      <c r="AE133" s="8" t="str">
        <f aca="false">IF($A133="","",$A133&amp;"")</f>
        <v/>
      </c>
      <c r="AF133" s="8" t="str">
        <f aca="false">IF($A133="","",SUBSTITUTE(SUBSTITUTE(SUBSTITUTE($A133&amp;"","~","~~"),"*","~*"),"?","~?"))</f>
        <v/>
      </c>
    </row>
    <row r="134" customFormat="false" ht="15" hidden="false" customHeight="false" outlineLevel="0" collapsed="false">
      <c r="A134" s="11"/>
      <c r="B134" s="11"/>
      <c r="C134" s="11"/>
      <c r="D134" s="16"/>
      <c r="E134" s="11"/>
      <c r="F134" s="11"/>
      <c r="G134" s="9"/>
      <c r="H134" s="11"/>
      <c r="I134" s="17"/>
      <c r="J134" s="18" t="str">
        <f aca="false">IF($A134="","",IF(COUNT(Usage!$C:$C)=0,"",MAX(0,SUMIFS(Usage!$C:$C,Usage!$A:$A,$AF134,Usage!$B:$B,"&gt;="&amp;(PlanDate-AduWindow),Usage!$B:$B,"&lt;"&amp;PlanDate))/AduWindow))</f>
        <v/>
      </c>
      <c r="K134" s="18" t="str">
        <f aca="false">IF($A134="","",IF(AND(ISNUMBER($I134),N($I134)&gt;=0),$I134,$J134))</f>
        <v/>
      </c>
      <c r="L134" s="19" t="str">
        <f aca="false">IF($A134="","",IF($K134="","Needs ADU",IF($K134&lt;=0,"No recent demand",IF(N($D134)&lt;=0,"Needs lead time","Planned"))))</f>
        <v/>
      </c>
      <c r="M134" s="8" t="str">
        <f aca="false">IF($A134="","",IF(ISNUMBER(MATCH($C134,Profiles!$A$2:$A$100,0)),$C134,DefaultProfile))</f>
        <v/>
      </c>
      <c r="N134" s="20" t="str">
        <f aca="false">IF($A134="","",INDEX(Profiles!$D$2:$D$100,MATCH($M134,Profiles!$A$2:$A$100,0)))</f>
        <v/>
      </c>
      <c r="O134" s="20" t="str">
        <f aca="false">IF($A134="","",INDEX(Profiles!$E$2:$E$100,MATCH($M134,Profiles!$A$2:$A$100,0)))</f>
        <v/>
      </c>
      <c r="P134" s="21" t="str">
        <f aca="false">IF($L134&lt;&gt;"Planned","",$K134*$D134*$N134*(1+$O134))</f>
        <v/>
      </c>
      <c r="Q134" s="21" t="str">
        <f aca="false">IF($L134&lt;&gt;"Planned","",$K134*$D134)</f>
        <v/>
      </c>
      <c r="R134" s="21" t="str">
        <f aca="false">IF($L134&lt;&gt;"Planned","",MAX(N($E134),$K134*$D134*$N134,$K134*N($G134)))</f>
        <v/>
      </c>
      <c r="S134" s="21" t="str">
        <f aca="false">IF($L134&lt;&gt;"Planned","",$P134)</f>
        <v/>
      </c>
      <c r="T134" s="21" t="str">
        <f aca="false">IF($L134&lt;&gt;"Planned","",$P134+$Q134)</f>
        <v/>
      </c>
      <c r="U134" s="21" t="str">
        <f aca="false">IF($L134&lt;&gt;"Planned","",$T134+$R134)</f>
        <v/>
      </c>
      <c r="V134" s="8" t="str">
        <f aca="false">IF($A134="","",SUMIFS('Open supply'!$C:$C,'Open supply'!$A:$A,$AF134))</f>
        <v/>
      </c>
      <c r="W134" s="8" t="str">
        <f aca="false">IF($A134="","",SUMIFS('Open supply'!$C:$C,'Open supply'!$A:$A,$AF134,'Open supply'!$B:$B,"&lt;"&amp;PlanDate))</f>
        <v/>
      </c>
      <c r="X134" s="8" t="str">
        <f aca="false">IF($A134="","",SUMIFS('Open demand'!$G:$G,'Open demand'!$A:$A,$AF134))</f>
        <v/>
      </c>
      <c r="Y134" s="8" t="str">
        <f aca="false">IF($L134&lt;&gt;"Planned","",N($H134)+$V134-$X134)</f>
        <v/>
      </c>
      <c r="Z134" s="19" t="str">
        <f aca="false">IF($L134&lt;&gt;"Planned","",IF($Y134&lt;=$S134,"Red",IF($Y134&lt;=$T134,"Yellow",IF($Y134&lt;=$U134,"Green","Above green"))))</f>
        <v/>
      </c>
      <c r="AA134" s="22" t="str">
        <f aca="false">IF(OR($L134&lt;&gt;"Planned",N($U134)&lt;=0),"",$Y134/$U134)</f>
        <v/>
      </c>
      <c r="AB134" s="8" t="str">
        <f aca="false">IF($L134&lt;&gt;"Planned","",IF($Y134&lt;=$T134,ROUNDUP(MAX($U134-$Y134,N($E134))/IF(N($F134)&gt;0,$F134,1)-0.000000001,0)*IF(N($F134)&gt;0,$F134,1),""))</f>
        <v/>
      </c>
      <c r="AC134" s="23" t="str">
        <f aca="false">IF(N($AB134)&gt;0,PlanDate+ROUNDUP($D134,0),"")</f>
        <v/>
      </c>
      <c r="AD134" s="19" t="str">
        <f aca="false">IF($L134&lt;&gt;"Planned","",IF(N($H134)&lt;=0,"Stockout",IF(N($H134)&lt;$S134*0.5,"Critical",IF(N($H134)&lt;=$S134,"Low",IF(N($H134)&gt;$U134,"Over top of green","OK")))))</f>
        <v/>
      </c>
      <c r="AE134" s="8" t="str">
        <f aca="false">IF($A134="","",$A134&amp;"")</f>
        <v/>
      </c>
      <c r="AF134" s="8" t="str">
        <f aca="false">IF($A134="","",SUBSTITUTE(SUBSTITUTE(SUBSTITUTE($A134&amp;"","~","~~"),"*","~*"),"?","~?"))</f>
        <v/>
      </c>
    </row>
    <row r="135" customFormat="false" ht="15" hidden="false" customHeight="false" outlineLevel="0" collapsed="false">
      <c r="A135" s="11"/>
      <c r="B135" s="11"/>
      <c r="C135" s="11"/>
      <c r="D135" s="16"/>
      <c r="E135" s="11"/>
      <c r="F135" s="11"/>
      <c r="G135" s="9"/>
      <c r="H135" s="11"/>
      <c r="I135" s="17"/>
      <c r="J135" s="18" t="str">
        <f aca="false">IF($A135="","",IF(COUNT(Usage!$C:$C)=0,"",MAX(0,SUMIFS(Usage!$C:$C,Usage!$A:$A,$AF135,Usage!$B:$B,"&gt;="&amp;(PlanDate-AduWindow),Usage!$B:$B,"&lt;"&amp;PlanDate))/AduWindow))</f>
        <v/>
      </c>
      <c r="K135" s="18" t="str">
        <f aca="false">IF($A135="","",IF(AND(ISNUMBER($I135),N($I135)&gt;=0),$I135,$J135))</f>
        <v/>
      </c>
      <c r="L135" s="19" t="str">
        <f aca="false">IF($A135="","",IF($K135="","Needs ADU",IF($K135&lt;=0,"No recent demand",IF(N($D135)&lt;=0,"Needs lead time","Planned"))))</f>
        <v/>
      </c>
      <c r="M135" s="8" t="str">
        <f aca="false">IF($A135="","",IF(ISNUMBER(MATCH($C135,Profiles!$A$2:$A$100,0)),$C135,DefaultProfile))</f>
        <v/>
      </c>
      <c r="N135" s="20" t="str">
        <f aca="false">IF($A135="","",INDEX(Profiles!$D$2:$D$100,MATCH($M135,Profiles!$A$2:$A$100,0)))</f>
        <v/>
      </c>
      <c r="O135" s="20" t="str">
        <f aca="false">IF($A135="","",INDEX(Profiles!$E$2:$E$100,MATCH($M135,Profiles!$A$2:$A$100,0)))</f>
        <v/>
      </c>
      <c r="P135" s="21" t="str">
        <f aca="false">IF($L135&lt;&gt;"Planned","",$K135*$D135*$N135*(1+$O135))</f>
        <v/>
      </c>
      <c r="Q135" s="21" t="str">
        <f aca="false">IF($L135&lt;&gt;"Planned","",$K135*$D135)</f>
        <v/>
      </c>
      <c r="R135" s="21" t="str">
        <f aca="false">IF($L135&lt;&gt;"Planned","",MAX(N($E135),$K135*$D135*$N135,$K135*N($G135)))</f>
        <v/>
      </c>
      <c r="S135" s="21" t="str">
        <f aca="false">IF($L135&lt;&gt;"Planned","",$P135)</f>
        <v/>
      </c>
      <c r="T135" s="21" t="str">
        <f aca="false">IF($L135&lt;&gt;"Planned","",$P135+$Q135)</f>
        <v/>
      </c>
      <c r="U135" s="21" t="str">
        <f aca="false">IF($L135&lt;&gt;"Planned","",$T135+$R135)</f>
        <v/>
      </c>
      <c r="V135" s="8" t="str">
        <f aca="false">IF($A135="","",SUMIFS('Open supply'!$C:$C,'Open supply'!$A:$A,$AF135))</f>
        <v/>
      </c>
      <c r="W135" s="8" t="str">
        <f aca="false">IF($A135="","",SUMIFS('Open supply'!$C:$C,'Open supply'!$A:$A,$AF135,'Open supply'!$B:$B,"&lt;"&amp;PlanDate))</f>
        <v/>
      </c>
      <c r="X135" s="8" t="str">
        <f aca="false">IF($A135="","",SUMIFS('Open demand'!$G:$G,'Open demand'!$A:$A,$AF135))</f>
        <v/>
      </c>
      <c r="Y135" s="8" t="str">
        <f aca="false">IF($L135&lt;&gt;"Planned","",N($H135)+$V135-$X135)</f>
        <v/>
      </c>
      <c r="Z135" s="19" t="str">
        <f aca="false">IF($L135&lt;&gt;"Planned","",IF($Y135&lt;=$S135,"Red",IF($Y135&lt;=$T135,"Yellow",IF($Y135&lt;=$U135,"Green","Above green"))))</f>
        <v/>
      </c>
      <c r="AA135" s="22" t="str">
        <f aca="false">IF(OR($L135&lt;&gt;"Planned",N($U135)&lt;=0),"",$Y135/$U135)</f>
        <v/>
      </c>
      <c r="AB135" s="8" t="str">
        <f aca="false">IF($L135&lt;&gt;"Planned","",IF($Y135&lt;=$T135,ROUNDUP(MAX($U135-$Y135,N($E135))/IF(N($F135)&gt;0,$F135,1)-0.000000001,0)*IF(N($F135)&gt;0,$F135,1),""))</f>
        <v/>
      </c>
      <c r="AC135" s="23" t="str">
        <f aca="false">IF(N($AB135)&gt;0,PlanDate+ROUNDUP($D135,0),"")</f>
        <v/>
      </c>
      <c r="AD135" s="19" t="str">
        <f aca="false">IF($L135&lt;&gt;"Planned","",IF(N($H135)&lt;=0,"Stockout",IF(N($H135)&lt;$S135*0.5,"Critical",IF(N($H135)&lt;=$S135,"Low",IF(N($H135)&gt;$U135,"Over top of green","OK")))))</f>
        <v/>
      </c>
      <c r="AE135" s="8" t="str">
        <f aca="false">IF($A135="","",$A135&amp;"")</f>
        <v/>
      </c>
      <c r="AF135" s="8" t="str">
        <f aca="false">IF($A135="","",SUBSTITUTE(SUBSTITUTE(SUBSTITUTE($A135&amp;"","~","~~"),"*","~*"),"?","~?"))</f>
        <v/>
      </c>
    </row>
    <row r="136" customFormat="false" ht="15" hidden="false" customHeight="false" outlineLevel="0" collapsed="false">
      <c r="A136" s="11"/>
      <c r="B136" s="11"/>
      <c r="C136" s="11"/>
      <c r="D136" s="16"/>
      <c r="E136" s="11"/>
      <c r="F136" s="11"/>
      <c r="G136" s="9"/>
      <c r="H136" s="11"/>
      <c r="I136" s="17"/>
      <c r="J136" s="18" t="str">
        <f aca="false">IF($A136="","",IF(COUNT(Usage!$C:$C)=0,"",MAX(0,SUMIFS(Usage!$C:$C,Usage!$A:$A,$AF136,Usage!$B:$B,"&gt;="&amp;(PlanDate-AduWindow),Usage!$B:$B,"&lt;"&amp;PlanDate))/AduWindow))</f>
        <v/>
      </c>
      <c r="K136" s="18" t="str">
        <f aca="false">IF($A136="","",IF(AND(ISNUMBER($I136),N($I136)&gt;=0),$I136,$J136))</f>
        <v/>
      </c>
      <c r="L136" s="19" t="str">
        <f aca="false">IF($A136="","",IF($K136="","Needs ADU",IF($K136&lt;=0,"No recent demand",IF(N($D136)&lt;=0,"Needs lead time","Planned"))))</f>
        <v/>
      </c>
      <c r="M136" s="8" t="str">
        <f aca="false">IF($A136="","",IF(ISNUMBER(MATCH($C136,Profiles!$A$2:$A$100,0)),$C136,DefaultProfile))</f>
        <v/>
      </c>
      <c r="N136" s="20" t="str">
        <f aca="false">IF($A136="","",INDEX(Profiles!$D$2:$D$100,MATCH($M136,Profiles!$A$2:$A$100,0)))</f>
        <v/>
      </c>
      <c r="O136" s="20" t="str">
        <f aca="false">IF($A136="","",INDEX(Profiles!$E$2:$E$100,MATCH($M136,Profiles!$A$2:$A$100,0)))</f>
        <v/>
      </c>
      <c r="P136" s="21" t="str">
        <f aca="false">IF($L136&lt;&gt;"Planned","",$K136*$D136*$N136*(1+$O136))</f>
        <v/>
      </c>
      <c r="Q136" s="21" t="str">
        <f aca="false">IF($L136&lt;&gt;"Planned","",$K136*$D136)</f>
        <v/>
      </c>
      <c r="R136" s="21" t="str">
        <f aca="false">IF($L136&lt;&gt;"Planned","",MAX(N($E136),$K136*$D136*$N136,$K136*N($G136)))</f>
        <v/>
      </c>
      <c r="S136" s="21" t="str">
        <f aca="false">IF($L136&lt;&gt;"Planned","",$P136)</f>
        <v/>
      </c>
      <c r="T136" s="21" t="str">
        <f aca="false">IF($L136&lt;&gt;"Planned","",$P136+$Q136)</f>
        <v/>
      </c>
      <c r="U136" s="21" t="str">
        <f aca="false">IF($L136&lt;&gt;"Planned","",$T136+$R136)</f>
        <v/>
      </c>
      <c r="V136" s="8" t="str">
        <f aca="false">IF($A136="","",SUMIFS('Open supply'!$C:$C,'Open supply'!$A:$A,$AF136))</f>
        <v/>
      </c>
      <c r="W136" s="8" t="str">
        <f aca="false">IF($A136="","",SUMIFS('Open supply'!$C:$C,'Open supply'!$A:$A,$AF136,'Open supply'!$B:$B,"&lt;"&amp;PlanDate))</f>
        <v/>
      </c>
      <c r="X136" s="8" t="str">
        <f aca="false">IF($A136="","",SUMIFS('Open demand'!$G:$G,'Open demand'!$A:$A,$AF136))</f>
        <v/>
      </c>
      <c r="Y136" s="8" t="str">
        <f aca="false">IF($L136&lt;&gt;"Planned","",N($H136)+$V136-$X136)</f>
        <v/>
      </c>
      <c r="Z136" s="19" t="str">
        <f aca="false">IF($L136&lt;&gt;"Planned","",IF($Y136&lt;=$S136,"Red",IF($Y136&lt;=$T136,"Yellow",IF($Y136&lt;=$U136,"Green","Above green"))))</f>
        <v/>
      </c>
      <c r="AA136" s="22" t="str">
        <f aca="false">IF(OR($L136&lt;&gt;"Planned",N($U136)&lt;=0),"",$Y136/$U136)</f>
        <v/>
      </c>
      <c r="AB136" s="8" t="str">
        <f aca="false">IF($L136&lt;&gt;"Planned","",IF($Y136&lt;=$T136,ROUNDUP(MAX($U136-$Y136,N($E136))/IF(N($F136)&gt;0,$F136,1)-0.000000001,0)*IF(N($F136)&gt;0,$F136,1),""))</f>
        <v/>
      </c>
      <c r="AC136" s="23" t="str">
        <f aca="false">IF(N($AB136)&gt;0,PlanDate+ROUNDUP($D136,0),"")</f>
        <v/>
      </c>
      <c r="AD136" s="19" t="str">
        <f aca="false">IF($L136&lt;&gt;"Planned","",IF(N($H136)&lt;=0,"Stockout",IF(N($H136)&lt;$S136*0.5,"Critical",IF(N($H136)&lt;=$S136,"Low",IF(N($H136)&gt;$U136,"Over top of green","OK")))))</f>
        <v/>
      </c>
      <c r="AE136" s="8" t="str">
        <f aca="false">IF($A136="","",$A136&amp;"")</f>
        <v/>
      </c>
      <c r="AF136" s="8" t="str">
        <f aca="false">IF($A136="","",SUBSTITUTE(SUBSTITUTE(SUBSTITUTE($A136&amp;"","~","~~"),"*","~*"),"?","~?"))</f>
        <v/>
      </c>
    </row>
    <row r="137" customFormat="false" ht="15" hidden="false" customHeight="false" outlineLevel="0" collapsed="false">
      <c r="A137" s="11"/>
      <c r="B137" s="11"/>
      <c r="C137" s="11"/>
      <c r="D137" s="16"/>
      <c r="E137" s="11"/>
      <c r="F137" s="11"/>
      <c r="G137" s="9"/>
      <c r="H137" s="11"/>
      <c r="I137" s="17"/>
      <c r="J137" s="18" t="str">
        <f aca="false">IF($A137="","",IF(COUNT(Usage!$C:$C)=0,"",MAX(0,SUMIFS(Usage!$C:$C,Usage!$A:$A,$AF137,Usage!$B:$B,"&gt;="&amp;(PlanDate-AduWindow),Usage!$B:$B,"&lt;"&amp;PlanDate))/AduWindow))</f>
        <v/>
      </c>
      <c r="K137" s="18" t="str">
        <f aca="false">IF($A137="","",IF(AND(ISNUMBER($I137),N($I137)&gt;=0),$I137,$J137))</f>
        <v/>
      </c>
      <c r="L137" s="19" t="str">
        <f aca="false">IF($A137="","",IF($K137="","Needs ADU",IF($K137&lt;=0,"No recent demand",IF(N($D137)&lt;=0,"Needs lead time","Planned"))))</f>
        <v/>
      </c>
      <c r="M137" s="8" t="str">
        <f aca="false">IF($A137="","",IF(ISNUMBER(MATCH($C137,Profiles!$A$2:$A$100,0)),$C137,DefaultProfile))</f>
        <v/>
      </c>
      <c r="N137" s="20" t="str">
        <f aca="false">IF($A137="","",INDEX(Profiles!$D$2:$D$100,MATCH($M137,Profiles!$A$2:$A$100,0)))</f>
        <v/>
      </c>
      <c r="O137" s="20" t="str">
        <f aca="false">IF($A137="","",INDEX(Profiles!$E$2:$E$100,MATCH($M137,Profiles!$A$2:$A$100,0)))</f>
        <v/>
      </c>
      <c r="P137" s="21" t="str">
        <f aca="false">IF($L137&lt;&gt;"Planned","",$K137*$D137*$N137*(1+$O137))</f>
        <v/>
      </c>
      <c r="Q137" s="21" t="str">
        <f aca="false">IF($L137&lt;&gt;"Planned","",$K137*$D137)</f>
        <v/>
      </c>
      <c r="R137" s="21" t="str">
        <f aca="false">IF($L137&lt;&gt;"Planned","",MAX(N($E137),$K137*$D137*$N137,$K137*N($G137)))</f>
        <v/>
      </c>
      <c r="S137" s="21" t="str">
        <f aca="false">IF($L137&lt;&gt;"Planned","",$P137)</f>
        <v/>
      </c>
      <c r="T137" s="21" t="str">
        <f aca="false">IF($L137&lt;&gt;"Planned","",$P137+$Q137)</f>
        <v/>
      </c>
      <c r="U137" s="21" t="str">
        <f aca="false">IF($L137&lt;&gt;"Planned","",$T137+$R137)</f>
        <v/>
      </c>
      <c r="V137" s="8" t="str">
        <f aca="false">IF($A137="","",SUMIFS('Open supply'!$C:$C,'Open supply'!$A:$A,$AF137))</f>
        <v/>
      </c>
      <c r="W137" s="8" t="str">
        <f aca="false">IF($A137="","",SUMIFS('Open supply'!$C:$C,'Open supply'!$A:$A,$AF137,'Open supply'!$B:$B,"&lt;"&amp;PlanDate))</f>
        <v/>
      </c>
      <c r="X137" s="8" t="str">
        <f aca="false">IF($A137="","",SUMIFS('Open demand'!$G:$G,'Open demand'!$A:$A,$AF137))</f>
        <v/>
      </c>
      <c r="Y137" s="8" t="str">
        <f aca="false">IF($L137&lt;&gt;"Planned","",N($H137)+$V137-$X137)</f>
        <v/>
      </c>
      <c r="Z137" s="19" t="str">
        <f aca="false">IF($L137&lt;&gt;"Planned","",IF($Y137&lt;=$S137,"Red",IF($Y137&lt;=$T137,"Yellow",IF($Y137&lt;=$U137,"Green","Above green"))))</f>
        <v/>
      </c>
      <c r="AA137" s="22" t="str">
        <f aca="false">IF(OR($L137&lt;&gt;"Planned",N($U137)&lt;=0),"",$Y137/$U137)</f>
        <v/>
      </c>
      <c r="AB137" s="8" t="str">
        <f aca="false">IF($L137&lt;&gt;"Planned","",IF($Y137&lt;=$T137,ROUNDUP(MAX($U137-$Y137,N($E137))/IF(N($F137)&gt;0,$F137,1)-0.000000001,0)*IF(N($F137)&gt;0,$F137,1),""))</f>
        <v/>
      </c>
      <c r="AC137" s="23" t="str">
        <f aca="false">IF(N($AB137)&gt;0,PlanDate+ROUNDUP($D137,0),"")</f>
        <v/>
      </c>
      <c r="AD137" s="19" t="str">
        <f aca="false">IF($L137&lt;&gt;"Planned","",IF(N($H137)&lt;=0,"Stockout",IF(N($H137)&lt;$S137*0.5,"Critical",IF(N($H137)&lt;=$S137,"Low",IF(N($H137)&gt;$U137,"Over top of green","OK")))))</f>
        <v/>
      </c>
      <c r="AE137" s="8" t="str">
        <f aca="false">IF($A137="","",$A137&amp;"")</f>
        <v/>
      </c>
      <c r="AF137" s="8" t="str">
        <f aca="false">IF($A137="","",SUBSTITUTE(SUBSTITUTE(SUBSTITUTE($A137&amp;"","~","~~"),"*","~*"),"?","~?"))</f>
        <v/>
      </c>
    </row>
    <row r="138" customFormat="false" ht="15" hidden="false" customHeight="false" outlineLevel="0" collapsed="false">
      <c r="A138" s="11"/>
      <c r="B138" s="11"/>
      <c r="C138" s="11"/>
      <c r="D138" s="16"/>
      <c r="E138" s="11"/>
      <c r="F138" s="11"/>
      <c r="G138" s="9"/>
      <c r="H138" s="11"/>
      <c r="I138" s="17"/>
      <c r="J138" s="18" t="str">
        <f aca="false">IF($A138="","",IF(COUNT(Usage!$C:$C)=0,"",MAX(0,SUMIFS(Usage!$C:$C,Usage!$A:$A,$AF138,Usage!$B:$B,"&gt;="&amp;(PlanDate-AduWindow),Usage!$B:$B,"&lt;"&amp;PlanDate))/AduWindow))</f>
        <v/>
      </c>
      <c r="K138" s="18" t="str">
        <f aca="false">IF($A138="","",IF(AND(ISNUMBER($I138),N($I138)&gt;=0),$I138,$J138))</f>
        <v/>
      </c>
      <c r="L138" s="19" t="str">
        <f aca="false">IF($A138="","",IF($K138="","Needs ADU",IF($K138&lt;=0,"No recent demand",IF(N($D138)&lt;=0,"Needs lead time","Planned"))))</f>
        <v/>
      </c>
      <c r="M138" s="8" t="str">
        <f aca="false">IF($A138="","",IF(ISNUMBER(MATCH($C138,Profiles!$A$2:$A$100,0)),$C138,DefaultProfile))</f>
        <v/>
      </c>
      <c r="N138" s="20" t="str">
        <f aca="false">IF($A138="","",INDEX(Profiles!$D$2:$D$100,MATCH($M138,Profiles!$A$2:$A$100,0)))</f>
        <v/>
      </c>
      <c r="O138" s="20" t="str">
        <f aca="false">IF($A138="","",INDEX(Profiles!$E$2:$E$100,MATCH($M138,Profiles!$A$2:$A$100,0)))</f>
        <v/>
      </c>
      <c r="P138" s="21" t="str">
        <f aca="false">IF($L138&lt;&gt;"Planned","",$K138*$D138*$N138*(1+$O138))</f>
        <v/>
      </c>
      <c r="Q138" s="21" t="str">
        <f aca="false">IF($L138&lt;&gt;"Planned","",$K138*$D138)</f>
        <v/>
      </c>
      <c r="R138" s="21" t="str">
        <f aca="false">IF($L138&lt;&gt;"Planned","",MAX(N($E138),$K138*$D138*$N138,$K138*N($G138)))</f>
        <v/>
      </c>
      <c r="S138" s="21" t="str">
        <f aca="false">IF($L138&lt;&gt;"Planned","",$P138)</f>
        <v/>
      </c>
      <c r="T138" s="21" t="str">
        <f aca="false">IF($L138&lt;&gt;"Planned","",$P138+$Q138)</f>
        <v/>
      </c>
      <c r="U138" s="21" t="str">
        <f aca="false">IF($L138&lt;&gt;"Planned","",$T138+$R138)</f>
        <v/>
      </c>
      <c r="V138" s="8" t="str">
        <f aca="false">IF($A138="","",SUMIFS('Open supply'!$C:$C,'Open supply'!$A:$A,$AF138))</f>
        <v/>
      </c>
      <c r="W138" s="8" t="str">
        <f aca="false">IF($A138="","",SUMIFS('Open supply'!$C:$C,'Open supply'!$A:$A,$AF138,'Open supply'!$B:$B,"&lt;"&amp;PlanDate))</f>
        <v/>
      </c>
      <c r="X138" s="8" t="str">
        <f aca="false">IF($A138="","",SUMIFS('Open demand'!$G:$G,'Open demand'!$A:$A,$AF138))</f>
        <v/>
      </c>
      <c r="Y138" s="8" t="str">
        <f aca="false">IF($L138&lt;&gt;"Planned","",N($H138)+$V138-$X138)</f>
        <v/>
      </c>
      <c r="Z138" s="19" t="str">
        <f aca="false">IF($L138&lt;&gt;"Planned","",IF($Y138&lt;=$S138,"Red",IF($Y138&lt;=$T138,"Yellow",IF($Y138&lt;=$U138,"Green","Above green"))))</f>
        <v/>
      </c>
      <c r="AA138" s="22" t="str">
        <f aca="false">IF(OR($L138&lt;&gt;"Planned",N($U138)&lt;=0),"",$Y138/$U138)</f>
        <v/>
      </c>
      <c r="AB138" s="8" t="str">
        <f aca="false">IF($L138&lt;&gt;"Planned","",IF($Y138&lt;=$T138,ROUNDUP(MAX($U138-$Y138,N($E138))/IF(N($F138)&gt;0,$F138,1)-0.000000001,0)*IF(N($F138)&gt;0,$F138,1),""))</f>
        <v/>
      </c>
      <c r="AC138" s="23" t="str">
        <f aca="false">IF(N($AB138)&gt;0,PlanDate+ROUNDUP($D138,0),"")</f>
        <v/>
      </c>
      <c r="AD138" s="19" t="str">
        <f aca="false">IF($L138&lt;&gt;"Planned","",IF(N($H138)&lt;=0,"Stockout",IF(N($H138)&lt;$S138*0.5,"Critical",IF(N($H138)&lt;=$S138,"Low",IF(N($H138)&gt;$U138,"Over top of green","OK")))))</f>
        <v/>
      </c>
      <c r="AE138" s="8" t="str">
        <f aca="false">IF($A138="","",$A138&amp;"")</f>
        <v/>
      </c>
      <c r="AF138" s="8" t="str">
        <f aca="false">IF($A138="","",SUBSTITUTE(SUBSTITUTE(SUBSTITUTE($A138&amp;"","~","~~"),"*","~*"),"?","~?"))</f>
        <v/>
      </c>
    </row>
    <row r="139" customFormat="false" ht="15" hidden="false" customHeight="false" outlineLevel="0" collapsed="false">
      <c r="A139" s="11"/>
      <c r="B139" s="11"/>
      <c r="C139" s="11"/>
      <c r="D139" s="16"/>
      <c r="E139" s="11"/>
      <c r="F139" s="11"/>
      <c r="G139" s="9"/>
      <c r="H139" s="11"/>
      <c r="I139" s="17"/>
      <c r="J139" s="18" t="str">
        <f aca="false">IF($A139="","",IF(COUNT(Usage!$C:$C)=0,"",MAX(0,SUMIFS(Usage!$C:$C,Usage!$A:$A,$AF139,Usage!$B:$B,"&gt;="&amp;(PlanDate-AduWindow),Usage!$B:$B,"&lt;"&amp;PlanDate))/AduWindow))</f>
        <v/>
      </c>
      <c r="K139" s="18" t="str">
        <f aca="false">IF($A139="","",IF(AND(ISNUMBER($I139),N($I139)&gt;=0),$I139,$J139))</f>
        <v/>
      </c>
      <c r="L139" s="19" t="str">
        <f aca="false">IF($A139="","",IF($K139="","Needs ADU",IF($K139&lt;=0,"No recent demand",IF(N($D139)&lt;=0,"Needs lead time","Planned"))))</f>
        <v/>
      </c>
      <c r="M139" s="8" t="str">
        <f aca="false">IF($A139="","",IF(ISNUMBER(MATCH($C139,Profiles!$A$2:$A$100,0)),$C139,DefaultProfile))</f>
        <v/>
      </c>
      <c r="N139" s="20" t="str">
        <f aca="false">IF($A139="","",INDEX(Profiles!$D$2:$D$100,MATCH($M139,Profiles!$A$2:$A$100,0)))</f>
        <v/>
      </c>
      <c r="O139" s="20" t="str">
        <f aca="false">IF($A139="","",INDEX(Profiles!$E$2:$E$100,MATCH($M139,Profiles!$A$2:$A$100,0)))</f>
        <v/>
      </c>
      <c r="P139" s="21" t="str">
        <f aca="false">IF($L139&lt;&gt;"Planned","",$K139*$D139*$N139*(1+$O139))</f>
        <v/>
      </c>
      <c r="Q139" s="21" t="str">
        <f aca="false">IF($L139&lt;&gt;"Planned","",$K139*$D139)</f>
        <v/>
      </c>
      <c r="R139" s="21" t="str">
        <f aca="false">IF($L139&lt;&gt;"Planned","",MAX(N($E139),$K139*$D139*$N139,$K139*N($G139)))</f>
        <v/>
      </c>
      <c r="S139" s="21" t="str">
        <f aca="false">IF($L139&lt;&gt;"Planned","",$P139)</f>
        <v/>
      </c>
      <c r="T139" s="21" t="str">
        <f aca="false">IF($L139&lt;&gt;"Planned","",$P139+$Q139)</f>
        <v/>
      </c>
      <c r="U139" s="21" t="str">
        <f aca="false">IF($L139&lt;&gt;"Planned","",$T139+$R139)</f>
        <v/>
      </c>
      <c r="V139" s="8" t="str">
        <f aca="false">IF($A139="","",SUMIFS('Open supply'!$C:$C,'Open supply'!$A:$A,$AF139))</f>
        <v/>
      </c>
      <c r="W139" s="8" t="str">
        <f aca="false">IF($A139="","",SUMIFS('Open supply'!$C:$C,'Open supply'!$A:$A,$AF139,'Open supply'!$B:$B,"&lt;"&amp;PlanDate))</f>
        <v/>
      </c>
      <c r="X139" s="8" t="str">
        <f aca="false">IF($A139="","",SUMIFS('Open demand'!$G:$G,'Open demand'!$A:$A,$AF139))</f>
        <v/>
      </c>
      <c r="Y139" s="8" t="str">
        <f aca="false">IF($L139&lt;&gt;"Planned","",N($H139)+$V139-$X139)</f>
        <v/>
      </c>
      <c r="Z139" s="19" t="str">
        <f aca="false">IF($L139&lt;&gt;"Planned","",IF($Y139&lt;=$S139,"Red",IF($Y139&lt;=$T139,"Yellow",IF($Y139&lt;=$U139,"Green","Above green"))))</f>
        <v/>
      </c>
      <c r="AA139" s="22" t="str">
        <f aca="false">IF(OR($L139&lt;&gt;"Planned",N($U139)&lt;=0),"",$Y139/$U139)</f>
        <v/>
      </c>
      <c r="AB139" s="8" t="str">
        <f aca="false">IF($L139&lt;&gt;"Planned","",IF($Y139&lt;=$T139,ROUNDUP(MAX($U139-$Y139,N($E139))/IF(N($F139)&gt;0,$F139,1)-0.000000001,0)*IF(N($F139)&gt;0,$F139,1),""))</f>
        <v/>
      </c>
      <c r="AC139" s="23" t="str">
        <f aca="false">IF(N($AB139)&gt;0,PlanDate+ROUNDUP($D139,0),"")</f>
        <v/>
      </c>
      <c r="AD139" s="19" t="str">
        <f aca="false">IF($L139&lt;&gt;"Planned","",IF(N($H139)&lt;=0,"Stockout",IF(N($H139)&lt;$S139*0.5,"Critical",IF(N($H139)&lt;=$S139,"Low",IF(N($H139)&gt;$U139,"Over top of green","OK")))))</f>
        <v/>
      </c>
      <c r="AE139" s="8" t="str">
        <f aca="false">IF($A139="","",$A139&amp;"")</f>
        <v/>
      </c>
      <c r="AF139" s="8" t="str">
        <f aca="false">IF($A139="","",SUBSTITUTE(SUBSTITUTE(SUBSTITUTE($A139&amp;"","~","~~"),"*","~*"),"?","~?"))</f>
        <v/>
      </c>
    </row>
    <row r="140" customFormat="false" ht="15" hidden="false" customHeight="false" outlineLevel="0" collapsed="false">
      <c r="A140" s="11"/>
      <c r="B140" s="11"/>
      <c r="C140" s="11"/>
      <c r="D140" s="16"/>
      <c r="E140" s="11"/>
      <c r="F140" s="11"/>
      <c r="G140" s="9"/>
      <c r="H140" s="11"/>
      <c r="I140" s="17"/>
      <c r="J140" s="18" t="str">
        <f aca="false">IF($A140="","",IF(COUNT(Usage!$C:$C)=0,"",MAX(0,SUMIFS(Usage!$C:$C,Usage!$A:$A,$AF140,Usage!$B:$B,"&gt;="&amp;(PlanDate-AduWindow),Usage!$B:$B,"&lt;"&amp;PlanDate))/AduWindow))</f>
        <v/>
      </c>
      <c r="K140" s="18" t="str">
        <f aca="false">IF($A140="","",IF(AND(ISNUMBER($I140),N($I140)&gt;=0),$I140,$J140))</f>
        <v/>
      </c>
      <c r="L140" s="19" t="str">
        <f aca="false">IF($A140="","",IF($K140="","Needs ADU",IF($K140&lt;=0,"No recent demand",IF(N($D140)&lt;=0,"Needs lead time","Planned"))))</f>
        <v/>
      </c>
      <c r="M140" s="8" t="str">
        <f aca="false">IF($A140="","",IF(ISNUMBER(MATCH($C140,Profiles!$A$2:$A$100,0)),$C140,DefaultProfile))</f>
        <v/>
      </c>
      <c r="N140" s="20" t="str">
        <f aca="false">IF($A140="","",INDEX(Profiles!$D$2:$D$100,MATCH($M140,Profiles!$A$2:$A$100,0)))</f>
        <v/>
      </c>
      <c r="O140" s="20" t="str">
        <f aca="false">IF($A140="","",INDEX(Profiles!$E$2:$E$100,MATCH($M140,Profiles!$A$2:$A$100,0)))</f>
        <v/>
      </c>
      <c r="P140" s="21" t="str">
        <f aca="false">IF($L140&lt;&gt;"Planned","",$K140*$D140*$N140*(1+$O140))</f>
        <v/>
      </c>
      <c r="Q140" s="21" t="str">
        <f aca="false">IF($L140&lt;&gt;"Planned","",$K140*$D140)</f>
        <v/>
      </c>
      <c r="R140" s="21" t="str">
        <f aca="false">IF($L140&lt;&gt;"Planned","",MAX(N($E140),$K140*$D140*$N140,$K140*N($G140)))</f>
        <v/>
      </c>
      <c r="S140" s="21" t="str">
        <f aca="false">IF($L140&lt;&gt;"Planned","",$P140)</f>
        <v/>
      </c>
      <c r="T140" s="21" t="str">
        <f aca="false">IF($L140&lt;&gt;"Planned","",$P140+$Q140)</f>
        <v/>
      </c>
      <c r="U140" s="21" t="str">
        <f aca="false">IF($L140&lt;&gt;"Planned","",$T140+$R140)</f>
        <v/>
      </c>
      <c r="V140" s="8" t="str">
        <f aca="false">IF($A140="","",SUMIFS('Open supply'!$C:$C,'Open supply'!$A:$A,$AF140))</f>
        <v/>
      </c>
      <c r="W140" s="8" t="str">
        <f aca="false">IF($A140="","",SUMIFS('Open supply'!$C:$C,'Open supply'!$A:$A,$AF140,'Open supply'!$B:$B,"&lt;"&amp;PlanDate))</f>
        <v/>
      </c>
      <c r="X140" s="8" t="str">
        <f aca="false">IF($A140="","",SUMIFS('Open demand'!$G:$G,'Open demand'!$A:$A,$AF140))</f>
        <v/>
      </c>
      <c r="Y140" s="8" t="str">
        <f aca="false">IF($L140&lt;&gt;"Planned","",N($H140)+$V140-$X140)</f>
        <v/>
      </c>
      <c r="Z140" s="19" t="str">
        <f aca="false">IF($L140&lt;&gt;"Planned","",IF($Y140&lt;=$S140,"Red",IF($Y140&lt;=$T140,"Yellow",IF($Y140&lt;=$U140,"Green","Above green"))))</f>
        <v/>
      </c>
      <c r="AA140" s="22" t="str">
        <f aca="false">IF(OR($L140&lt;&gt;"Planned",N($U140)&lt;=0),"",$Y140/$U140)</f>
        <v/>
      </c>
      <c r="AB140" s="8" t="str">
        <f aca="false">IF($L140&lt;&gt;"Planned","",IF($Y140&lt;=$T140,ROUNDUP(MAX($U140-$Y140,N($E140))/IF(N($F140)&gt;0,$F140,1)-0.000000001,0)*IF(N($F140)&gt;0,$F140,1),""))</f>
        <v/>
      </c>
      <c r="AC140" s="23" t="str">
        <f aca="false">IF(N($AB140)&gt;0,PlanDate+ROUNDUP($D140,0),"")</f>
        <v/>
      </c>
      <c r="AD140" s="19" t="str">
        <f aca="false">IF($L140&lt;&gt;"Planned","",IF(N($H140)&lt;=0,"Stockout",IF(N($H140)&lt;$S140*0.5,"Critical",IF(N($H140)&lt;=$S140,"Low",IF(N($H140)&gt;$U140,"Over top of green","OK")))))</f>
        <v/>
      </c>
      <c r="AE140" s="8" t="str">
        <f aca="false">IF($A140="","",$A140&amp;"")</f>
        <v/>
      </c>
      <c r="AF140" s="8" t="str">
        <f aca="false">IF($A140="","",SUBSTITUTE(SUBSTITUTE(SUBSTITUTE($A140&amp;"","~","~~"),"*","~*"),"?","~?"))</f>
        <v/>
      </c>
    </row>
    <row r="141" customFormat="false" ht="15" hidden="false" customHeight="false" outlineLevel="0" collapsed="false">
      <c r="A141" s="11"/>
      <c r="B141" s="11"/>
      <c r="C141" s="11"/>
      <c r="D141" s="16"/>
      <c r="E141" s="11"/>
      <c r="F141" s="11"/>
      <c r="G141" s="9"/>
      <c r="H141" s="11"/>
      <c r="I141" s="17"/>
      <c r="J141" s="18" t="str">
        <f aca="false">IF($A141="","",IF(COUNT(Usage!$C:$C)=0,"",MAX(0,SUMIFS(Usage!$C:$C,Usage!$A:$A,$AF141,Usage!$B:$B,"&gt;="&amp;(PlanDate-AduWindow),Usage!$B:$B,"&lt;"&amp;PlanDate))/AduWindow))</f>
        <v/>
      </c>
      <c r="K141" s="18" t="str">
        <f aca="false">IF($A141="","",IF(AND(ISNUMBER($I141),N($I141)&gt;=0),$I141,$J141))</f>
        <v/>
      </c>
      <c r="L141" s="19" t="str">
        <f aca="false">IF($A141="","",IF($K141="","Needs ADU",IF($K141&lt;=0,"No recent demand",IF(N($D141)&lt;=0,"Needs lead time","Planned"))))</f>
        <v/>
      </c>
      <c r="M141" s="8" t="str">
        <f aca="false">IF($A141="","",IF(ISNUMBER(MATCH($C141,Profiles!$A$2:$A$100,0)),$C141,DefaultProfile))</f>
        <v/>
      </c>
      <c r="N141" s="20" t="str">
        <f aca="false">IF($A141="","",INDEX(Profiles!$D$2:$D$100,MATCH($M141,Profiles!$A$2:$A$100,0)))</f>
        <v/>
      </c>
      <c r="O141" s="20" t="str">
        <f aca="false">IF($A141="","",INDEX(Profiles!$E$2:$E$100,MATCH($M141,Profiles!$A$2:$A$100,0)))</f>
        <v/>
      </c>
      <c r="P141" s="21" t="str">
        <f aca="false">IF($L141&lt;&gt;"Planned","",$K141*$D141*$N141*(1+$O141))</f>
        <v/>
      </c>
      <c r="Q141" s="21" t="str">
        <f aca="false">IF($L141&lt;&gt;"Planned","",$K141*$D141)</f>
        <v/>
      </c>
      <c r="R141" s="21" t="str">
        <f aca="false">IF($L141&lt;&gt;"Planned","",MAX(N($E141),$K141*$D141*$N141,$K141*N($G141)))</f>
        <v/>
      </c>
      <c r="S141" s="21" t="str">
        <f aca="false">IF($L141&lt;&gt;"Planned","",$P141)</f>
        <v/>
      </c>
      <c r="T141" s="21" t="str">
        <f aca="false">IF($L141&lt;&gt;"Planned","",$P141+$Q141)</f>
        <v/>
      </c>
      <c r="U141" s="21" t="str">
        <f aca="false">IF($L141&lt;&gt;"Planned","",$T141+$R141)</f>
        <v/>
      </c>
      <c r="V141" s="8" t="str">
        <f aca="false">IF($A141="","",SUMIFS('Open supply'!$C:$C,'Open supply'!$A:$A,$AF141))</f>
        <v/>
      </c>
      <c r="W141" s="8" t="str">
        <f aca="false">IF($A141="","",SUMIFS('Open supply'!$C:$C,'Open supply'!$A:$A,$AF141,'Open supply'!$B:$B,"&lt;"&amp;PlanDate))</f>
        <v/>
      </c>
      <c r="X141" s="8" t="str">
        <f aca="false">IF($A141="","",SUMIFS('Open demand'!$G:$G,'Open demand'!$A:$A,$AF141))</f>
        <v/>
      </c>
      <c r="Y141" s="8" t="str">
        <f aca="false">IF($L141&lt;&gt;"Planned","",N($H141)+$V141-$X141)</f>
        <v/>
      </c>
      <c r="Z141" s="19" t="str">
        <f aca="false">IF($L141&lt;&gt;"Planned","",IF($Y141&lt;=$S141,"Red",IF($Y141&lt;=$T141,"Yellow",IF($Y141&lt;=$U141,"Green","Above green"))))</f>
        <v/>
      </c>
      <c r="AA141" s="22" t="str">
        <f aca="false">IF(OR($L141&lt;&gt;"Planned",N($U141)&lt;=0),"",$Y141/$U141)</f>
        <v/>
      </c>
      <c r="AB141" s="8" t="str">
        <f aca="false">IF($L141&lt;&gt;"Planned","",IF($Y141&lt;=$T141,ROUNDUP(MAX($U141-$Y141,N($E141))/IF(N($F141)&gt;0,$F141,1)-0.000000001,0)*IF(N($F141)&gt;0,$F141,1),""))</f>
        <v/>
      </c>
      <c r="AC141" s="23" t="str">
        <f aca="false">IF(N($AB141)&gt;0,PlanDate+ROUNDUP($D141,0),"")</f>
        <v/>
      </c>
      <c r="AD141" s="19" t="str">
        <f aca="false">IF($L141&lt;&gt;"Planned","",IF(N($H141)&lt;=0,"Stockout",IF(N($H141)&lt;$S141*0.5,"Critical",IF(N($H141)&lt;=$S141,"Low",IF(N($H141)&gt;$U141,"Over top of green","OK")))))</f>
        <v/>
      </c>
      <c r="AE141" s="8" t="str">
        <f aca="false">IF($A141="","",$A141&amp;"")</f>
        <v/>
      </c>
      <c r="AF141" s="8" t="str">
        <f aca="false">IF($A141="","",SUBSTITUTE(SUBSTITUTE(SUBSTITUTE($A141&amp;"","~","~~"),"*","~*"),"?","~?"))</f>
        <v/>
      </c>
    </row>
    <row r="142" customFormat="false" ht="15" hidden="false" customHeight="false" outlineLevel="0" collapsed="false">
      <c r="A142" s="11"/>
      <c r="B142" s="11"/>
      <c r="C142" s="11"/>
      <c r="D142" s="16"/>
      <c r="E142" s="11"/>
      <c r="F142" s="11"/>
      <c r="G142" s="9"/>
      <c r="H142" s="11"/>
      <c r="I142" s="17"/>
      <c r="J142" s="18" t="str">
        <f aca="false">IF($A142="","",IF(COUNT(Usage!$C:$C)=0,"",MAX(0,SUMIFS(Usage!$C:$C,Usage!$A:$A,$AF142,Usage!$B:$B,"&gt;="&amp;(PlanDate-AduWindow),Usage!$B:$B,"&lt;"&amp;PlanDate))/AduWindow))</f>
        <v/>
      </c>
      <c r="K142" s="18" t="str">
        <f aca="false">IF($A142="","",IF(AND(ISNUMBER($I142),N($I142)&gt;=0),$I142,$J142))</f>
        <v/>
      </c>
      <c r="L142" s="19" t="str">
        <f aca="false">IF($A142="","",IF($K142="","Needs ADU",IF($K142&lt;=0,"No recent demand",IF(N($D142)&lt;=0,"Needs lead time","Planned"))))</f>
        <v/>
      </c>
      <c r="M142" s="8" t="str">
        <f aca="false">IF($A142="","",IF(ISNUMBER(MATCH($C142,Profiles!$A$2:$A$100,0)),$C142,DefaultProfile))</f>
        <v/>
      </c>
      <c r="N142" s="20" t="str">
        <f aca="false">IF($A142="","",INDEX(Profiles!$D$2:$D$100,MATCH($M142,Profiles!$A$2:$A$100,0)))</f>
        <v/>
      </c>
      <c r="O142" s="20" t="str">
        <f aca="false">IF($A142="","",INDEX(Profiles!$E$2:$E$100,MATCH($M142,Profiles!$A$2:$A$100,0)))</f>
        <v/>
      </c>
      <c r="P142" s="21" t="str">
        <f aca="false">IF($L142&lt;&gt;"Planned","",$K142*$D142*$N142*(1+$O142))</f>
        <v/>
      </c>
      <c r="Q142" s="21" t="str">
        <f aca="false">IF($L142&lt;&gt;"Planned","",$K142*$D142)</f>
        <v/>
      </c>
      <c r="R142" s="21" t="str">
        <f aca="false">IF($L142&lt;&gt;"Planned","",MAX(N($E142),$K142*$D142*$N142,$K142*N($G142)))</f>
        <v/>
      </c>
      <c r="S142" s="21" t="str">
        <f aca="false">IF($L142&lt;&gt;"Planned","",$P142)</f>
        <v/>
      </c>
      <c r="T142" s="21" t="str">
        <f aca="false">IF($L142&lt;&gt;"Planned","",$P142+$Q142)</f>
        <v/>
      </c>
      <c r="U142" s="21" t="str">
        <f aca="false">IF($L142&lt;&gt;"Planned","",$T142+$R142)</f>
        <v/>
      </c>
      <c r="V142" s="8" t="str">
        <f aca="false">IF($A142="","",SUMIFS('Open supply'!$C:$C,'Open supply'!$A:$A,$AF142))</f>
        <v/>
      </c>
      <c r="W142" s="8" t="str">
        <f aca="false">IF($A142="","",SUMIFS('Open supply'!$C:$C,'Open supply'!$A:$A,$AF142,'Open supply'!$B:$B,"&lt;"&amp;PlanDate))</f>
        <v/>
      </c>
      <c r="X142" s="8" t="str">
        <f aca="false">IF($A142="","",SUMIFS('Open demand'!$G:$G,'Open demand'!$A:$A,$AF142))</f>
        <v/>
      </c>
      <c r="Y142" s="8" t="str">
        <f aca="false">IF($L142&lt;&gt;"Planned","",N($H142)+$V142-$X142)</f>
        <v/>
      </c>
      <c r="Z142" s="19" t="str">
        <f aca="false">IF($L142&lt;&gt;"Planned","",IF($Y142&lt;=$S142,"Red",IF($Y142&lt;=$T142,"Yellow",IF($Y142&lt;=$U142,"Green","Above green"))))</f>
        <v/>
      </c>
      <c r="AA142" s="22" t="str">
        <f aca="false">IF(OR($L142&lt;&gt;"Planned",N($U142)&lt;=0),"",$Y142/$U142)</f>
        <v/>
      </c>
      <c r="AB142" s="8" t="str">
        <f aca="false">IF($L142&lt;&gt;"Planned","",IF($Y142&lt;=$T142,ROUNDUP(MAX($U142-$Y142,N($E142))/IF(N($F142)&gt;0,$F142,1)-0.000000001,0)*IF(N($F142)&gt;0,$F142,1),""))</f>
        <v/>
      </c>
      <c r="AC142" s="23" t="str">
        <f aca="false">IF(N($AB142)&gt;0,PlanDate+ROUNDUP($D142,0),"")</f>
        <v/>
      </c>
      <c r="AD142" s="19" t="str">
        <f aca="false">IF($L142&lt;&gt;"Planned","",IF(N($H142)&lt;=0,"Stockout",IF(N($H142)&lt;$S142*0.5,"Critical",IF(N($H142)&lt;=$S142,"Low",IF(N($H142)&gt;$U142,"Over top of green","OK")))))</f>
        <v/>
      </c>
      <c r="AE142" s="8" t="str">
        <f aca="false">IF($A142="","",$A142&amp;"")</f>
        <v/>
      </c>
      <c r="AF142" s="8" t="str">
        <f aca="false">IF($A142="","",SUBSTITUTE(SUBSTITUTE(SUBSTITUTE($A142&amp;"","~","~~"),"*","~*"),"?","~?"))</f>
        <v/>
      </c>
    </row>
    <row r="143" customFormat="false" ht="15" hidden="false" customHeight="false" outlineLevel="0" collapsed="false">
      <c r="A143" s="11"/>
      <c r="B143" s="11"/>
      <c r="C143" s="11"/>
      <c r="D143" s="16"/>
      <c r="E143" s="11"/>
      <c r="F143" s="11"/>
      <c r="G143" s="9"/>
      <c r="H143" s="11"/>
      <c r="I143" s="17"/>
      <c r="J143" s="18" t="str">
        <f aca="false">IF($A143="","",IF(COUNT(Usage!$C:$C)=0,"",MAX(0,SUMIFS(Usage!$C:$C,Usage!$A:$A,$AF143,Usage!$B:$B,"&gt;="&amp;(PlanDate-AduWindow),Usage!$B:$B,"&lt;"&amp;PlanDate))/AduWindow))</f>
        <v/>
      </c>
      <c r="K143" s="18" t="str">
        <f aca="false">IF($A143="","",IF(AND(ISNUMBER($I143),N($I143)&gt;=0),$I143,$J143))</f>
        <v/>
      </c>
      <c r="L143" s="19" t="str">
        <f aca="false">IF($A143="","",IF($K143="","Needs ADU",IF($K143&lt;=0,"No recent demand",IF(N($D143)&lt;=0,"Needs lead time","Planned"))))</f>
        <v/>
      </c>
      <c r="M143" s="8" t="str">
        <f aca="false">IF($A143="","",IF(ISNUMBER(MATCH($C143,Profiles!$A$2:$A$100,0)),$C143,DefaultProfile))</f>
        <v/>
      </c>
      <c r="N143" s="20" t="str">
        <f aca="false">IF($A143="","",INDEX(Profiles!$D$2:$D$100,MATCH($M143,Profiles!$A$2:$A$100,0)))</f>
        <v/>
      </c>
      <c r="O143" s="20" t="str">
        <f aca="false">IF($A143="","",INDEX(Profiles!$E$2:$E$100,MATCH($M143,Profiles!$A$2:$A$100,0)))</f>
        <v/>
      </c>
      <c r="P143" s="21" t="str">
        <f aca="false">IF($L143&lt;&gt;"Planned","",$K143*$D143*$N143*(1+$O143))</f>
        <v/>
      </c>
      <c r="Q143" s="21" t="str">
        <f aca="false">IF($L143&lt;&gt;"Planned","",$K143*$D143)</f>
        <v/>
      </c>
      <c r="R143" s="21" t="str">
        <f aca="false">IF($L143&lt;&gt;"Planned","",MAX(N($E143),$K143*$D143*$N143,$K143*N($G143)))</f>
        <v/>
      </c>
      <c r="S143" s="21" t="str">
        <f aca="false">IF($L143&lt;&gt;"Planned","",$P143)</f>
        <v/>
      </c>
      <c r="T143" s="21" t="str">
        <f aca="false">IF($L143&lt;&gt;"Planned","",$P143+$Q143)</f>
        <v/>
      </c>
      <c r="U143" s="21" t="str">
        <f aca="false">IF($L143&lt;&gt;"Planned","",$T143+$R143)</f>
        <v/>
      </c>
      <c r="V143" s="8" t="str">
        <f aca="false">IF($A143="","",SUMIFS('Open supply'!$C:$C,'Open supply'!$A:$A,$AF143))</f>
        <v/>
      </c>
      <c r="W143" s="8" t="str">
        <f aca="false">IF($A143="","",SUMIFS('Open supply'!$C:$C,'Open supply'!$A:$A,$AF143,'Open supply'!$B:$B,"&lt;"&amp;PlanDate))</f>
        <v/>
      </c>
      <c r="X143" s="8" t="str">
        <f aca="false">IF($A143="","",SUMIFS('Open demand'!$G:$G,'Open demand'!$A:$A,$AF143))</f>
        <v/>
      </c>
      <c r="Y143" s="8" t="str">
        <f aca="false">IF($L143&lt;&gt;"Planned","",N($H143)+$V143-$X143)</f>
        <v/>
      </c>
      <c r="Z143" s="19" t="str">
        <f aca="false">IF($L143&lt;&gt;"Planned","",IF($Y143&lt;=$S143,"Red",IF($Y143&lt;=$T143,"Yellow",IF($Y143&lt;=$U143,"Green","Above green"))))</f>
        <v/>
      </c>
      <c r="AA143" s="22" t="str">
        <f aca="false">IF(OR($L143&lt;&gt;"Planned",N($U143)&lt;=0),"",$Y143/$U143)</f>
        <v/>
      </c>
      <c r="AB143" s="8" t="str">
        <f aca="false">IF($L143&lt;&gt;"Planned","",IF($Y143&lt;=$T143,ROUNDUP(MAX($U143-$Y143,N($E143))/IF(N($F143)&gt;0,$F143,1)-0.000000001,0)*IF(N($F143)&gt;0,$F143,1),""))</f>
        <v/>
      </c>
      <c r="AC143" s="23" t="str">
        <f aca="false">IF(N($AB143)&gt;0,PlanDate+ROUNDUP($D143,0),"")</f>
        <v/>
      </c>
      <c r="AD143" s="19" t="str">
        <f aca="false">IF($L143&lt;&gt;"Planned","",IF(N($H143)&lt;=0,"Stockout",IF(N($H143)&lt;$S143*0.5,"Critical",IF(N($H143)&lt;=$S143,"Low",IF(N($H143)&gt;$U143,"Over top of green","OK")))))</f>
        <v/>
      </c>
      <c r="AE143" s="8" t="str">
        <f aca="false">IF($A143="","",$A143&amp;"")</f>
        <v/>
      </c>
      <c r="AF143" s="8" t="str">
        <f aca="false">IF($A143="","",SUBSTITUTE(SUBSTITUTE(SUBSTITUTE($A143&amp;"","~","~~"),"*","~*"),"?","~?"))</f>
        <v/>
      </c>
    </row>
    <row r="144" customFormat="false" ht="15" hidden="false" customHeight="false" outlineLevel="0" collapsed="false">
      <c r="A144" s="11"/>
      <c r="B144" s="11"/>
      <c r="C144" s="11"/>
      <c r="D144" s="16"/>
      <c r="E144" s="11"/>
      <c r="F144" s="11"/>
      <c r="G144" s="9"/>
      <c r="H144" s="11"/>
      <c r="I144" s="17"/>
      <c r="J144" s="18" t="str">
        <f aca="false">IF($A144="","",IF(COUNT(Usage!$C:$C)=0,"",MAX(0,SUMIFS(Usage!$C:$C,Usage!$A:$A,$AF144,Usage!$B:$B,"&gt;="&amp;(PlanDate-AduWindow),Usage!$B:$B,"&lt;"&amp;PlanDate))/AduWindow))</f>
        <v/>
      </c>
      <c r="K144" s="18" t="str">
        <f aca="false">IF($A144="","",IF(AND(ISNUMBER($I144),N($I144)&gt;=0),$I144,$J144))</f>
        <v/>
      </c>
      <c r="L144" s="19" t="str">
        <f aca="false">IF($A144="","",IF($K144="","Needs ADU",IF($K144&lt;=0,"No recent demand",IF(N($D144)&lt;=0,"Needs lead time","Planned"))))</f>
        <v/>
      </c>
      <c r="M144" s="8" t="str">
        <f aca="false">IF($A144="","",IF(ISNUMBER(MATCH($C144,Profiles!$A$2:$A$100,0)),$C144,DefaultProfile))</f>
        <v/>
      </c>
      <c r="N144" s="20" t="str">
        <f aca="false">IF($A144="","",INDEX(Profiles!$D$2:$D$100,MATCH($M144,Profiles!$A$2:$A$100,0)))</f>
        <v/>
      </c>
      <c r="O144" s="20" t="str">
        <f aca="false">IF($A144="","",INDEX(Profiles!$E$2:$E$100,MATCH($M144,Profiles!$A$2:$A$100,0)))</f>
        <v/>
      </c>
      <c r="P144" s="21" t="str">
        <f aca="false">IF($L144&lt;&gt;"Planned","",$K144*$D144*$N144*(1+$O144))</f>
        <v/>
      </c>
      <c r="Q144" s="21" t="str">
        <f aca="false">IF($L144&lt;&gt;"Planned","",$K144*$D144)</f>
        <v/>
      </c>
      <c r="R144" s="21" t="str">
        <f aca="false">IF($L144&lt;&gt;"Planned","",MAX(N($E144),$K144*$D144*$N144,$K144*N($G144)))</f>
        <v/>
      </c>
      <c r="S144" s="21" t="str">
        <f aca="false">IF($L144&lt;&gt;"Planned","",$P144)</f>
        <v/>
      </c>
      <c r="T144" s="21" t="str">
        <f aca="false">IF($L144&lt;&gt;"Planned","",$P144+$Q144)</f>
        <v/>
      </c>
      <c r="U144" s="21" t="str">
        <f aca="false">IF($L144&lt;&gt;"Planned","",$T144+$R144)</f>
        <v/>
      </c>
      <c r="V144" s="8" t="str">
        <f aca="false">IF($A144="","",SUMIFS('Open supply'!$C:$C,'Open supply'!$A:$A,$AF144))</f>
        <v/>
      </c>
      <c r="W144" s="8" t="str">
        <f aca="false">IF($A144="","",SUMIFS('Open supply'!$C:$C,'Open supply'!$A:$A,$AF144,'Open supply'!$B:$B,"&lt;"&amp;PlanDate))</f>
        <v/>
      </c>
      <c r="X144" s="8" t="str">
        <f aca="false">IF($A144="","",SUMIFS('Open demand'!$G:$G,'Open demand'!$A:$A,$AF144))</f>
        <v/>
      </c>
      <c r="Y144" s="8" t="str">
        <f aca="false">IF($L144&lt;&gt;"Planned","",N($H144)+$V144-$X144)</f>
        <v/>
      </c>
      <c r="Z144" s="19" t="str">
        <f aca="false">IF($L144&lt;&gt;"Planned","",IF($Y144&lt;=$S144,"Red",IF($Y144&lt;=$T144,"Yellow",IF($Y144&lt;=$U144,"Green","Above green"))))</f>
        <v/>
      </c>
      <c r="AA144" s="22" t="str">
        <f aca="false">IF(OR($L144&lt;&gt;"Planned",N($U144)&lt;=0),"",$Y144/$U144)</f>
        <v/>
      </c>
      <c r="AB144" s="8" t="str">
        <f aca="false">IF($L144&lt;&gt;"Planned","",IF($Y144&lt;=$T144,ROUNDUP(MAX($U144-$Y144,N($E144))/IF(N($F144)&gt;0,$F144,1)-0.000000001,0)*IF(N($F144)&gt;0,$F144,1),""))</f>
        <v/>
      </c>
      <c r="AC144" s="23" t="str">
        <f aca="false">IF(N($AB144)&gt;0,PlanDate+ROUNDUP($D144,0),"")</f>
        <v/>
      </c>
      <c r="AD144" s="19" t="str">
        <f aca="false">IF($L144&lt;&gt;"Planned","",IF(N($H144)&lt;=0,"Stockout",IF(N($H144)&lt;$S144*0.5,"Critical",IF(N($H144)&lt;=$S144,"Low",IF(N($H144)&gt;$U144,"Over top of green","OK")))))</f>
        <v/>
      </c>
      <c r="AE144" s="8" t="str">
        <f aca="false">IF($A144="","",$A144&amp;"")</f>
        <v/>
      </c>
      <c r="AF144" s="8" t="str">
        <f aca="false">IF($A144="","",SUBSTITUTE(SUBSTITUTE(SUBSTITUTE($A144&amp;"","~","~~"),"*","~*"),"?","~?"))</f>
        <v/>
      </c>
    </row>
    <row r="145" customFormat="false" ht="15" hidden="false" customHeight="false" outlineLevel="0" collapsed="false">
      <c r="A145" s="11"/>
      <c r="B145" s="11"/>
      <c r="C145" s="11"/>
      <c r="D145" s="16"/>
      <c r="E145" s="11"/>
      <c r="F145" s="11"/>
      <c r="G145" s="9"/>
      <c r="H145" s="11"/>
      <c r="I145" s="17"/>
      <c r="J145" s="18" t="str">
        <f aca="false">IF($A145="","",IF(COUNT(Usage!$C:$C)=0,"",MAX(0,SUMIFS(Usage!$C:$C,Usage!$A:$A,$AF145,Usage!$B:$B,"&gt;="&amp;(PlanDate-AduWindow),Usage!$B:$B,"&lt;"&amp;PlanDate))/AduWindow))</f>
        <v/>
      </c>
      <c r="K145" s="18" t="str">
        <f aca="false">IF($A145="","",IF(AND(ISNUMBER($I145),N($I145)&gt;=0),$I145,$J145))</f>
        <v/>
      </c>
      <c r="L145" s="19" t="str">
        <f aca="false">IF($A145="","",IF($K145="","Needs ADU",IF($K145&lt;=0,"No recent demand",IF(N($D145)&lt;=0,"Needs lead time","Planned"))))</f>
        <v/>
      </c>
      <c r="M145" s="8" t="str">
        <f aca="false">IF($A145="","",IF(ISNUMBER(MATCH($C145,Profiles!$A$2:$A$100,0)),$C145,DefaultProfile))</f>
        <v/>
      </c>
      <c r="N145" s="20" t="str">
        <f aca="false">IF($A145="","",INDEX(Profiles!$D$2:$D$100,MATCH($M145,Profiles!$A$2:$A$100,0)))</f>
        <v/>
      </c>
      <c r="O145" s="20" t="str">
        <f aca="false">IF($A145="","",INDEX(Profiles!$E$2:$E$100,MATCH($M145,Profiles!$A$2:$A$100,0)))</f>
        <v/>
      </c>
      <c r="P145" s="21" t="str">
        <f aca="false">IF($L145&lt;&gt;"Planned","",$K145*$D145*$N145*(1+$O145))</f>
        <v/>
      </c>
      <c r="Q145" s="21" t="str">
        <f aca="false">IF($L145&lt;&gt;"Planned","",$K145*$D145)</f>
        <v/>
      </c>
      <c r="R145" s="21" t="str">
        <f aca="false">IF($L145&lt;&gt;"Planned","",MAX(N($E145),$K145*$D145*$N145,$K145*N($G145)))</f>
        <v/>
      </c>
      <c r="S145" s="21" t="str">
        <f aca="false">IF($L145&lt;&gt;"Planned","",$P145)</f>
        <v/>
      </c>
      <c r="T145" s="21" t="str">
        <f aca="false">IF($L145&lt;&gt;"Planned","",$P145+$Q145)</f>
        <v/>
      </c>
      <c r="U145" s="21" t="str">
        <f aca="false">IF($L145&lt;&gt;"Planned","",$T145+$R145)</f>
        <v/>
      </c>
      <c r="V145" s="8" t="str">
        <f aca="false">IF($A145="","",SUMIFS('Open supply'!$C:$C,'Open supply'!$A:$A,$AF145))</f>
        <v/>
      </c>
      <c r="W145" s="8" t="str">
        <f aca="false">IF($A145="","",SUMIFS('Open supply'!$C:$C,'Open supply'!$A:$A,$AF145,'Open supply'!$B:$B,"&lt;"&amp;PlanDate))</f>
        <v/>
      </c>
      <c r="X145" s="8" t="str">
        <f aca="false">IF($A145="","",SUMIFS('Open demand'!$G:$G,'Open demand'!$A:$A,$AF145))</f>
        <v/>
      </c>
      <c r="Y145" s="8" t="str">
        <f aca="false">IF($L145&lt;&gt;"Planned","",N($H145)+$V145-$X145)</f>
        <v/>
      </c>
      <c r="Z145" s="19" t="str">
        <f aca="false">IF($L145&lt;&gt;"Planned","",IF($Y145&lt;=$S145,"Red",IF($Y145&lt;=$T145,"Yellow",IF($Y145&lt;=$U145,"Green","Above green"))))</f>
        <v/>
      </c>
      <c r="AA145" s="22" t="str">
        <f aca="false">IF(OR($L145&lt;&gt;"Planned",N($U145)&lt;=0),"",$Y145/$U145)</f>
        <v/>
      </c>
      <c r="AB145" s="8" t="str">
        <f aca="false">IF($L145&lt;&gt;"Planned","",IF($Y145&lt;=$T145,ROUNDUP(MAX($U145-$Y145,N($E145))/IF(N($F145)&gt;0,$F145,1)-0.000000001,0)*IF(N($F145)&gt;0,$F145,1),""))</f>
        <v/>
      </c>
      <c r="AC145" s="23" t="str">
        <f aca="false">IF(N($AB145)&gt;0,PlanDate+ROUNDUP($D145,0),"")</f>
        <v/>
      </c>
      <c r="AD145" s="19" t="str">
        <f aca="false">IF($L145&lt;&gt;"Planned","",IF(N($H145)&lt;=0,"Stockout",IF(N($H145)&lt;$S145*0.5,"Critical",IF(N($H145)&lt;=$S145,"Low",IF(N($H145)&gt;$U145,"Over top of green","OK")))))</f>
        <v/>
      </c>
      <c r="AE145" s="8" t="str">
        <f aca="false">IF($A145="","",$A145&amp;"")</f>
        <v/>
      </c>
      <c r="AF145" s="8" t="str">
        <f aca="false">IF($A145="","",SUBSTITUTE(SUBSTITUTE(SUBSTITUTE($A145&amp;"","~","~~"),"*","~*"),"?","~?"))</f>
        <v/>
      </c>
    </row>
    <row r="146" customFormat="false" ht="15" hidden="false" customHeight="false" outlineLevel="0" collapsed="false">
      <c r="A146" s="11"/>
      <c r="B146" s="11"/>
      <c r="C146" s="11"/>
      <c r="D146" s="16"/>
      <c r="E146" s="11"/>
      <c r="F146" s="11"/>
      <c r="G146" s="9"/>
      <c r="H146" s="11"/>
      <c r="I146" s="17"/>
      <c r="J146" s="18" t="str">
        <f aca="false">IF($A146="","",IF(COUNT(Usage!$C:$C)=0,"",MAX(0,SUMIFS(Usage!$C:$C,Usage!$A:$A,$AF146,Usage!$B:$B,"&gt;="&amp;(PlanDate-AduWindow),Usage!$B:$B,"&lt;"&amp;PlanDate))/AduWindow))</f>
        <v/>
      </c>
      <c r="K146" s="18" t="str">
        <f aca="false">IF($A146="","",IF(AND(ISNUMBER($I146),N($I146)&gt;=0),$I146,$J146))</f>
        <v/>
      </c>
      <c r="L146" s="19" t="str">
        <f aca="false">IF($A146="","",IF($K146="","Needs ADU",IF($K146&lt;=0,"No recent demand",IF(N($D146)&lt;=0,"Needs lead time","Planned"))))</f>
        <v/>
      </c>
      <c r="M146" s="8" t="str">
        <f aca="false">IF($A146="","",IF(ISNUMBER(MATCH($C146,Profiles!$A$2:$A$100,0)),$C146,DefaultProfile))</f>
        <v/>
      </c>
      <c r="N146" s="20" t="str">
        <f aca="false">IF($A146="","",INDEX(Profiles!$D$2:$D$100,MATCH($M146,Profiles!$A$2:$A$100,0)))</f>
        <v/>
      </c>
      <c r="O146" s="20" t="str">
        <f aca="false">IF($A146="","",INDEX(Profiles!$E$2:$E$100,MATCH($M146,Profiles!$A$2:$A$100,0)))</f>
        <v/>
      </c>
      <c r="P146" s="21" t="str">
        <f aca="false">IF($L146&lt;&gt;"Planned","",$K146*$D146*$N146*(1+$O146))</f>
        <v/>
      </c>
      <c r="Q146" s="21" t="str">
        <f aca="false">IF($L146&lt;&gt;"Planned","",$K146*$D146)</f>
        <v/>
      </c>
      <c r="R146" s="21" t="str">
        <f aca="false">IF($L146&lt;&gt;"Planned","",MAX(N($E146),$K146*$D146*$N146,$K146*N($G146)))</f>
        <v/>
      </c>
      <c r="S146" s="21" t="str">
        <f aca="false">IF($L146&lt;&gt;"Planned","",$P146)</f>
        <v/>
      </c>
      <c r="T146" s="21" t="str">
        <f aca="false">IF($L146&lt;&gt;"Planned","",$P146+$Q146)</f>
        <v/>
      </c>
      <c r="U146" s="21" t="str">
        <f aca="false">IF($L146&lt;&gt;"Planned","",$T146+$R146)</f>
        <v/>
      </c>
      <c r="V146" s="8" t="str">
        <f aca="false">IF($A146="","",SUMIFS('Open supply'!$C:$C,'Open supply'!$A:$A,$AF146))</f>
        <v/>
      </c>
      <c r="W146" s="8" t="str">
        <f aca="false">IF($A146="","",SUMIFS('Open supply'!$C:$C,'Open supply'!$A:$A,$AF146,'Open supply'!$B:$B,"&lt;"&amp;PlanDate))</f>
        <v/>
      </c>
      <c r="X146" s="8" t="str">
        <f aca="false">IF($A146="","",SUMIFS('Open demand'!$G:$G,'Open demand'!$A:$A,$AF146))</f>
        <v/>
      </c>
      <c r="Y146" s="8" t="str">
        <f aca="false">IF($L146&lt;&gt;"Planned","",N($H146)+$V146-$X146)</f>
        <v/>
      </c>
      <c r="Z146" s="19" t="str">
        <f aca="false">IF($L146&lt;&gt;"Planned","",IF($Y146&lt;=$S146,"Red",IF($Y146&lt;=$T146,"Yellow",IF($Y146&lt;=$U146,"Green","Above green"))))</f>
        <v/>
      </c>
      <c r="AA146" s="22" t="str">
        <f aca="false">IF(OR($L146&lt;&gt;"Planned",N($U146)&lt;=0),"",$Y146/$U146)</f>
        <v/>
      </c>
      <c r="AB146" s="8" t="str">
        <f aca="false">IF($L146&lt;&gt;"Planned","",IF($Y146&lt;=$T146,ROUNDUP(MAX($U146-$Y146,N($E146))/IF(N($F146)&gt;0,$F146,1)-0.000000001,0)*IF(N($F146)&gt;0,$F146,1),""))</f>
        <v/>
      </c>
      <c r="AC146" s="23" t="str">
        <f aca="false">IF(N($AB146)&gt;0,PlanDate+ROUNDUP($D146,0),"")</f>
        <v/>
      </c>
      <c r="AD146" s="19" t="str">
        <f aca="false">IF($L146&lt;&gt;"Planned","",IF(N($H146)&lt;=0,"Stockout",IF(N($H146)&lt;$S146*0.5,"Critical",IF(N($H146)&lt;=$S146,"Low",IF(N($H146)&gt;$U146,"Over top of green","OK")))))</f>
        <v/>
      </c>
      <c r="AE146" s="8" t="str">
        <f aca="false">IF($A146="","",$A146&amp;"")</f>
        <v/>
      </c>
      <c r="AF146" s="8" t="str">
        <f aca="false">IF($A146="","",SUBSTITUTE(SUBSTITUTE(SUBSTITUTE($A146&amp;"","~","~~"),"*","~*"),"?","~?"))</f>
        <v/>
      </c>
    </row>
    <row r="147" customFormat="false" ht="15" hidden="false" customHeight="false" outlineLevel="0" collapsed="false">
      <c r="A147" s="11"/>
      <c r="B147" s="11"/>
      <c r="C147" s="11"/>
      <c r="D147" s="16"/>
      <c r="E147" s="11"/>
      <c r="F147" s="11"/>
      <c r="G147" s="9"/>
      <c r="H147" s="11"/>
      <c r="I147" s="17"/>
      <c r="J147" s="18" t="str">
        <f aca="false">IF($A147="","",IF(COUNT(Usage!$C:$C)=0,"",MAX(0,SUMIFS(Usage!$C:$C,Usage!$A:$A,$AF147,Usage!$B:$B,"&gt;="&amp;(PlanDate-AduWindow),Usage!$B:$B,"&lt;"&amp;PlanDate))/AduWindow))</f>
        <v/>
      </c>
      <c r="K147" s="18" t="str">
        <f aca="false">IF($A147="","",IF(AND(ISNUMBER($I147),N($I147)&gt;=0),$I147,$J147))</f>
        <v/>
      </c>
      <c r="L147" s="19" t="str">
        <f aca="false">IF($A147="","",IF($K147="","Needs ADU",IF($K147&lt;=0,"No recent demand",IF(N($D147)&lt;=0,"Needs lead time","Planned"))))</f>
        <v/>
      </c>
      <c r="M147" s="8" t="str">
        <f aca="false">IF($A147="","",IF(ISNUMBER(MATCH($C147,Profiles!$A$2:$A$100,0)),$C147,DefaultProfile))</f>
        <v/>
      </c>
      <c r="N147" s="20" t="str">
        <f aca="false">IF($A147="","",INDEX(Profiles!$D$2:$D$100,MATCH($M147,Profiles!$A$2:$A$100,0)))</f>
        <v/>
      </c>
      <c r="O147" s="20" t="str">
        <f aca="false">IF($A147="","",INDEX(Profiles!$E$2:$E$100,MATCH($M147,Profiles!$A$2:$A$100,0)))</f>
        <v/>
      </c>
      <c r="P147" s="21" t="str">
        <f aca="false">IF($L147&lt;&gt;"Planned","",$K147*$D147*$N147*(1+$O147))</f>
        <v/>
      </c>
      <c r="Q147" s="21" t="str">
        <f aca="false">IF($L147&lt;&gt;"Planned","",$K147*$D147)</f>
        <v/>
      </c>
      <c r="R147" s="21" t="str">
        <f aca="false">IF($L147&lt;&gt;"Planned","",MAX(N($E147),$K147*$D147*$N147,$K147*N($G147)))</f>
        <v/>
      </c>
      <c r="S147" s="21" t="str">
        <f aca="false">IF($L147&lt;&gt;"Planned","",$P147)</f>
        <v/>
      </c>
      <c r="T147" s="21" t="str">
        <f aca="false">IF($L147&lt;&gt;"Planned","",$P147+$Q147)</f>
        <v/>
      </c>
      <c r="U147" s="21" t="str">
        <f aca="false">IF($L147&lt;&gt;"Planned","",$T147+$R147)</f>
        <v/>
      </c>
      <c r="V147" s="8" t="str">
        <f aca="false">IF($A147="","",SUMIFS('Open supply'!$C:$C,'Open supply'!$A:$A,$AF147))</f>
        <v/>
      </c>
      <c r="W147" s="8" t="str">
        <f aca="false">IF($A147="","",SUMIFS('Open supply'!$C:$C,'Open supply'!$A:$A,$AF147,'Open supply'!$B:$B,"&lt;"&amp;PlanDate))</f>
        <v/>
      </c>
      <c r="X147" s="8" t="str">
        <f aca="false">IF($A147="","",SUMIFS('Open demand'!$G:$G,'Open demand'!$A:$A,$AF147))</f>
        <v/>
      </c>
      <c r="Y147" s="8" t="str">
        <f aca="false">IF($L147&lt;&gt;"Planned","",N($H147)+$V147-$X147)</f>
        <v/>
      </c>
      <c r="Z147" s="19" t="str">
        <f aca="false">IF($L147&lt;&gt;"Planned","",IF($Y147&lt;=$S147,"Red",IF($Y147&lt;=$T147,"Yellow",IF($Y147&lt;=$U147,"Green","Above green"))))</f>
        <v/>
      </c>
      <c r="AA147" s="22" t="str">
        <f aca="false">IF(OR($L147&lt;&gt;"Planned",N($U147)&lt;=0),"",$Y147/$U147)</f>
        <v/>
      </c>
      <c r="AB147" s="8" t="str">
        <f aca="false">IF($L147&lt;&gt;"Planned","",IF($Y147&lt;=$T147,ROUNDUP(MAX($U147-$Y147,N($E147))/IF(N($F147)&gt;0,$F147,1)-0.000000001,0)*IF(N($F147)&gt;0,$F147,1),""))</f>
        <v/>
      </c>
      <c r="AC147" s="23" t="str">
        <f aca="false">IF(N($AB147)&gt;0,PlanDate+ROUNDUP($D147,0),"")</f>
        <v/>
      </c>
      <c r="AD147" s="19" t="str">
        <f aca="false">IF($L147&lt;&gt;"Planned","",IF(N($H147)&lt;=0,"Stockout",IF(N($H147)&lt;$S147*0.5,"Critical",IF(N($H147)&lt;=$S147,"Low",IF(N($H147)&gt;$U147,"Over top of green","OK")))))</f>
        <v/>
      </c>
      <c r="AE147" s="8" t="str">
        <f aca="false">IF($A147="","",$A147&amp;"")</f>
        <v/>
      </c>
      <c r="AF147" s="8" t="str">
        <f aca="false">IF($A147="","",SUBSTITUTE(SUBSTITUTE(SUBSTITUTE($A147&amp;"","~","~~"),"*","~*"),"?","~?"))</f>
        <v/>
      </c>
    </row>
    <row r="148" customFormat="false" ht="15" hidden="false" customHeight="false" outlineLevel="0" collapsed="false">
      <c r="A148" s="11"/>
      <c r="B148" s="11"/>
      <c r="C148" s="11"/>
      <c r="D148" s="16"/>
      <c r="E148" s="11"/>
      <c r="F148" s="11"/>
      <c r="G148" s="9"/>
      <c r="H148" s="11"/>
      <c r="I148" s="17"/>
      <c r="J148" s="18" t="str">
        <f aca="false">IF($A148="","",IF(COUNT(Usage!$C:$C)=0,"",MAX(0,SUMIFS(Usage!$C:$C,Usage!$A:$A,$AF148,Usage!$B:$B,"&gt;="&amp;(PlanDate-AduWindow),Usage!$B:$B,"&lt;"&amp;PlanDate))/AduWindow))</f>
        <v/>
      </c>
      <c r="K148" s="18" t="str">
        <f aca="false">IF($A148="","",IF(AND(ISNUMBER($I148),N($I148)&gt;=0),$I148,$J148))</f>
        <v/>
      </c>
      <c r="L148" s="19" t="str">
        <f aca="false">IF($A148="","",IF($K148="","Needs ADU",IF($K148&lt;=0,"No recent demand",IF(N($D148)&lt;=0,"Needs lead time","Planned"))))</f>
        <v/>
      </c>
      <c r="M148" s="8" t="str">
        <f aca="false">IF($A148="","",IF(ISNUMBER(MATCH($C148,Profiles!$A$2:$A$100,0)),$C148,DefaultProfile))</f>
        <v/>
      </c>
      <c r="N148" s="20" t="str">
        <f aca="false">IF($A148="","",INDEX(Profiles!$D$2:$D$100,MATCH($M148,Profiles!$A$2:$A$100,0)))</f>
        <v/>
      </c>
      <c r="O148" s="20" t="str">
        <f aca="false">IF($A148="","",INDEX(Profiles!$E$2:$E$100,MATCH($M148,Profiles!$A$2:$A$100,0)))</f>
        <v/>
      </c>
      <c r="P148" s="21" t="str">
        <f aca="false">IF($L148&lt;&gt;"Planned","",$K148*$D148*$N148*(1+$O148))</f>
        <v/>
      </c>
      <c r="Q148" s="21" t="str">
        <f aca="false">IF($L148&lt;&gt;"Planned","",$K148*$D148)</f>
        <v/>
      </c>
      <c r="R148" s="21" t="str">
        <f aca="false">IF($L148&lt;&gt;"Planned","",MAX(N($E148),$K148*$D148*$N148,$K148*N($G148)))</f>
        <v/>
      </c>
      <c r="S148" s="21" t="str">
        <f aca="false">IF($L148&lt;&gt;"Planned","",$P148)</f>
        <v/>
      </c>
      <c r="T148" s="21" t="str">
        <f aca="false">IF($L148&lt;&gt;"Planned","",$P148+$Q148)</f>
        <v/>
      </c>
      <c r="U148" s="21" t="str">
        <f aca="false">IF($L148&lt;&gt;"Planned","",$T148+$R148)</f>
        <v/>
      </c>
      <c r="V148" s="8" t="str">
        <f aca="false">IF($A148="","",SUMIFS('Open supply'!$C:$C,'Open supply'!$A:$A,$AF148))</f>
        <v/>
      </c>
      <c r="W148" s="8" t="str">
        <f aca="false">IF($A148="","",SUMIFS('Open supply'!$C:$C,'Open supply'!$A:$A,$AF148,'Open supply'!$B:$B,"&lt;"&amp;PlanDate))</f>
        <v/>
      </c>
      <c r="X148" s="8" t="str">
        <f aca="false">IF($A148="","",SUMIFS('Open demand'!$G:$G,'Open demand'!$A:$A,$AF148))</f>
        <v/>
      </c>
      <c r="Y148" s="8" t="str">
        <f aca="false">IF($L148&lt;&gt;"Planned","",N($H148)+$V148-$X148)</f>
        <v/>
      </c>
      <c r="Z148" s="19" t="str">
        <f aca="false">IF($L148&lt;&gt;"Planned","",IF($Y148&lt;=$S148,"Red",IF($Y148&lt;=$T148,"Yellow",IF($Y148&lt;=$U148,"Green","Above green"))))</f>
        <v/>
      </c>
      <c r="AA148" s="22" t="str">
        <f aca="false">IF(OR($L148&lt;&gt;"Planned",N($U148)&lt;=0),"",$Y148/$U148)</f>
        <v/>
      </c>
      <c r="AB148" s="8" t="str">
        <f aca="false">IF($L148&lt;&gt;"Planned","",IF($Y148&lt;=$T148,ROUNDUP(MAX($U148-$Y148,N($E148))/IF(N($F148)&gt;0,$F148,1)-0.000000001,0)*IF(N($F148)&gt;0,$F148,1),""))</f>
        <v/>
      </c>
      <c r="AC148" s="23" t="str">
        <f aca="false">IF(N($AB148)&gt;0,PlanDate+ROUNDUP($D148,0),"")</f>
        <v/>
      </c>
      <c r="AD148" s="19" t="str">
        <f aca="false">IF($L148&lt;&gt;"Planned","",IF(N($H148)&lt;=0,"Stockout",IF(N($H148)&lt;$S148*0.5,"Critical",IF(N($H148)&lt;=$S148,"Low",IF(N($H148)&gt;$U148,"Over top of green","OK")))))</f>
        <v/>
      </c>
      <c r="AE148" s="8" t="str">
        <f aca="false">IF($A148="","",$A148&amp;"")</f>
        <v/>
      </c>
      <c r="AF148" s="8" t="str">
        <f aca="false">IF($A148="","",SUBSTITUTE(SUBSTITUTE(SUBSTITUTE($A148&amp;"","~","~~"),"*","~*"),"?","~?"))</f>
        <v/>
      </c>
    </row>
    <row r="149" customFormat="false" ht="15" hidden="false" customHeight="false" outlineLevel="0" collapsed="false">
      <c r="A149" s="11"/>
      <c r="B149" s="11"/>
      <c r="C149" s="11"/>
      <c r="D149" s="16"/>
      <c r="E149" s="11"/>
      <c r="F149" s="11"/>
      <c r="G149" s="9"/>
      <c r="H149" s="11"/>
      <c r="I149" s="17"/>
      <c r="J149" s="18" t="str">
        <f aca="false">IF($A149="","",IF(COUNT(Usage!$C:$C)=0,"",MAX(0,SUMIFS(Usage!$C:$C,Usage!$A:$A,$AF149,Usage!$B:$B,"&gt;="&amp;(PlanDate-AduWindow),Usage!$B:$B,"&lt;"&amp;PlanDate))/AduWindow))</f>
        <v/>
      </c>
      <c r="K149" s="18" t="str">
        <f aca="false">IF($A149="","",IF(AND(ISNUMBER($I149),N($I149)&gt;=0),$I149,$J149))</f>
        <v/>
      </c>
      <c r="L149" s="19" t="str">
        <f aca="false">IF($A149="","",IF($K149="","Needs ADU",IF($K149&lt;=0,"No recent demand",IF(N($D149)&lt;=0,"Needs lead time","Planned"))))</f>
        <v/>
      </c>
      <c r="M149" s="8" t="str">
        <f aca="false">IF($A149="","",IF(ISNUMBER(MATCH($C149,Profiles!$A$2:$A$100,0)),$C149,DefaultProfile))</f>
        <v/>
      </c>
      <c r="N149" s="20" t="str">
        <f aca="false">IF($A149="","",INDEX(Profiles!$D$2:$D$100,MATCH($M149,Profiles!$A$2:$A$100,0)))</f>
        <v/>
      </c>
      <c r="O149" s="20" t="str">
        <f aca="false">IF($A149="","",INDEX(Profiles!$E$2:$E$100,MATCH($M149,Profiles!$A$2:$A$100,0)))</f>
        <v/>
      </c>
      <c r="P149" s="21" t="str">
        <f aca="false">IF($L149&lt;&gt;"Planned","",$K149*$D149*$N149*(1+$O149))</f>
        <v/>
      </c>
      <c r="Q149" s="21" t="str">
        <f aca="false">IF($L149&lt;&gt;"Planned","",$K149*$D149)</f>
        <v/>
      </c>
      <c r="R149" s="21" t="str">
        <f aca="false">IF($L149&lt;&gt;"Planned","",MAX(N($E149),$K149*$D149*$N149,$K149*N($G149)))</f>
        <v/>
      </c>
      <c r="S149" s="21" t="str">
        <f aca="false">IF($L149&lt;&gt;"Planned","",$P149)</f>
        <v/>
      </c>
      <c r="T149" s="21" t="str">
        <f aca="false">IF($L149&lt;&gt;"Planned","",$P149+$Q149)</f>
        <v/>
      </c>
      <c r="U149" s="21" t="str">
        <f aca="false">IF($L149&lt;&gt;"Planned","",$T149+$R149)</f>
        <v/>
      </c>
      <c r="V149" s="8" t="str">
        <f aca="false">IF($A149="","",SUMIFS('Open supply'!$C:$C,'Open supply'!$A:$A,$AF149))</f>
        <v/>
      </c>
      <c r="W149" s="8" t="str">
        <f aca="false">IF($A149="","",SUMIFS('Open supply'!$C:$C,'Open supply'!$A:$A,$AF149,'Open supply'!$B:$B,"&lt;"&amp;PlanDate))</f>
        <v/>
      </c>
      <c r="X149" s="8" t="str">
        <f aca="false">IF($A149="","",SUMIFS('Open demand'!$G:$G,'Open demand'!$A:$A,$AF149))</f>
        <v/>
      </c>
      <c r="Y149" s="8" t="str">
        <f aca="false">IF($L149&lt;&gt;"Planned","",N($H149)+$V149-$X149)</f>
        <v/>
      </c>
      <c r="Z149" s="19" t="str">
        <f aca="false">IF($L149&lt;&gt;"Planned","",IF($Y149&lt;=$S149,"Red",IF($Y149&lt;=$T149,"Yellow",IF($Y149&lt;=$U149,"Green","Above green"))))</f>
        <v/>
      </c>
      <c r="AA149" s="22" t="str">
        <f aca="false">IF(OR($L149&lt;&gt;"Planned",N($U149)&lt;=0),"",$Y149/$U149)</f>
        <v/>
      </c>
      <c r="AB149" s="8" t="str">
        <f aca="false">IF($L149&lt;&gt;"Planned","",IF($Y149&lt;=$T149,ROUNDUP(MAX($U149-$Y149,N($E149))/IF(N($F149)&gt;0,$F149,1)-0.000000001,0)*IF(N($F149)&gt;0,$F149,1),""))</f>
        <v/>
      </c>
      <c r="AC149" s="23" t="str">
        <f aca="false">IF(N($AB149)&gt;0,PlanDate+ROUNDUP($D149,0),"")</f>
        <v/>
      </c>
      <c r="AD149" s="19" t="str">
        <f aca="false">IF($L149&lt;&gt;"Planned","",IF(N($H149)&lt;=0,"Stockout",IF(N($H149)&lt;$S149*0.5,"Critical",IF(N($H149)&lt;=$S149,"Low",IF(N($H149)&gt;$U149,"Over top of green","OK")))))</f>
        <v/>
      </c>
      <c r="AE149" s="8" t="str">
        <f aca="false">IF($A149="","",$A149&amp;"")</f>
        <v/>
      </c>
      <c r="AF149" s="8" t="str">
        <f aca="false">IF($A149="","",SUBSTITUTE(SUBSTITUTE(SUBSTITUTE($A149&amp;"","~","~~"),"*","~*"),"?","~?"))</f>
        <v/>
      </c>
    </row>
    <row r="150" customFormat="false" ht="15" hidden="false" customHeight="false" outlineLevel="0" collapsed="false">
      <c r="A150" s="11"/>
      <c r="B150" s="11"/>
      <c r="C150" s="11"/>
      <c r="D150" s="16"/>
      <c r="E150" s="11"/>
      <c r="F150" s="11"/>
      <c r="G150" s="9"/>
      <c r="H150" s="11"/>
      <c r="I150" s="17"/>
      <c r="J150" s="18" t="str">
        <f aca="false">IF($A150="","",IF(COUNT(Usage!$C:$C)=0,"",MAX(0,SUMIFS(Usage!$C:$C,Usage!$A:$A,$AF150,Usage!$B:$B,"&gt;="&amp;(PlanDate-AduWindow),Usage!$B:$B,"&lt;"&amp;PlanDate))/AduWindow))</f>
        <v/>
      </c>
      <c r="K150" s="18" t="str">
        <f aca="false">IF($A150="","",IF(AND(ISNUMBER($I150),N($I150)&gt;=0),$I150,$J150))</f>
        <v/>
      </c>
      <c r="L150" s="19" t="str">
        <f aca="false">IF($A150="","",IF($K150="","Needs ADU",IF($K150&lt;=0,"No recent demand",IF(N($D150)&lt;=0,"Needs lead time","Planned"))))</f>
        <v/>
      </c>
      <c r="M150" s="8" t="str">
        <f aca="false">IF($A150="","",IF(ISNUMBER(MATCH($C150,Profiles!$A$2:$A$100,0)),$C150,DefaultProfile))</f>
        <v/>
      </c>
      <c r="N150" s="20" t="str">
        <f aca="false">IF($A150="","",INDEX(Profiles!$D$2:$D$100,MATCH($M150,Profiles!$A$2:$A$100,0)))</f>
        <v/>
      </c>
      <c r="O150" s="20" t="str">
        <f aca="false">IF($A150="","",INDEX(Profiles!$E$2:$E$100,MATCH($M150,Profiles!$A$2:$A$100,0)))</f>
        <v/>
      </c>
      <c r="P150" s="21" t="str">
        <f aca="false">IF($L150&lt;&gt;"Planned","",$K150*$D150*$N150*(1+$O150))</f>
        <v/>
      </c>
      <c r="Q150" s="21" t="str">
        <f aca="false">IF($L150&lt;&gt;"Planned","",$K150*$D150)</f>
        <v/>
      </c>
      <c r="R150" s="21" t="str">
        <f aca="false">IF($L150&lt;&gt;"Planned","",MAX(N($E150),$K150*$D150*$N150,$K150*N($G150)))</f>
        <v/>
      </c>
      <c r="S150" s="21" t="str">
        <f aca="false">IF($L150&lt;&gt;"Planned","",$P150)</f>
        <v/>
      </c>
      <c r="T150" s="21" t="str">
        <f aca="false">IF($L150&lt;&gt;"Planned","",$P150+$Q150)</f>
        <v/>
      </c>
      <c r="U150" s="21" t="str">
        <f aca="false">IF($L150&lt;&gt;"Planned","",$T150+$R150)</f>
        <v/>
      </c>
      <c r="V150" s="8" t="str">
        <f aca="false">IF($A150="","",SUMIFS('Open supply'!$C:$C,'Open supply'!$A:$A,$AF150))</f>
        <v/>
      </c>
      <c r="W150" s="8" t="str">
        <f aca="false">IF($A150="","",SUMIFS('Open supply'!$C:$C,'Open supply'!$A:$A,$AF150,'Open supply'!$B:$B,"&lt;"&amp;PlanDate))</f>
        <v/>
      </c>
      <c r="X150" s="8" t="str">
        <f aca="false">IF($A150="","",SUMIFS('Open demand'!$G:$G,'Open demand'!$A:$A,$AF150))</f>
        <v/>
      </c>
      <c r="Y150" s="8" t="str">
        <f aca="false">IF($L150&lt;&gt;"Planned","",N($H150)+$V150-$X150)</f>
        <v/>
      </c>
      <c r="Z150" s="19" t="str">
        <f aca="false">IF($L150&lt;&gt;"Planned","",IF($Y150&lt;=$S150,"Red",IF($Y150&lt;=$T150,"Yellow",IF($Y150&lt;=$U150,"Green","Above green"))))</f>
        <v/>
      </c>
      <c r="AA150" s="22" t="str">
        <f aca="false">IF(OR($L150&lt;&gt;"Planned",N($U150)&lt;=0),"",$Y150/$U150)</f>
        <v/>
      </c>
      <c r="AB150" s="8" t="str">
        <f aca="false">IF($L150&lt;&gt;"Planned","",IF($Y150&lt;=$T150,ROUNDUP(MAX($U150-$Y150,N($E150))/IF(N($F150)&gt;0,$F150,1)-0.000000001,0)*IF(N($F150)&gt;0,$F150,1),""))</f>
        <v/>
      </c>
      <c r="AC150" s="23" t="str">
        <f aca="false">IF(N($AB150)&gt;0,PlanDate+ROUNDUP($D150,0),"")</f>
        <v/>
      </c>
      <c r="AD150" s="19" t="str">
        <f aca="false">IF($L150&lt;&gt;"Planned","",IF(N($H150)&lt;=0,"Stockout",IF(N($H150)&lt;$S150*0.5,"Critical",IF(N($H150)&lt;=$S150,"Low",IF(N($H150)&gt;$U150,"Over top of green","OK")))))</f>
        <v/>
      </c>
      <c r="AE150" s="8" t="str">
        <f aca="false">IF($A150="","",$A150&amp;"")</f>
        <v/>
      </c>
      <c r="AF150" s="8" t="str">
        <f aca="false">IF($A150="","",SUBSTITUTE(SUBSTITUTE(SUBSTITUTE($A150&amp;"","~","~~"),"*","~*"),"?","~?"))</f>
        <v/>
      </c>
    </row>
    <row r="151" customFormat="false" ht="15" hidden="false" customHeight="false" outlineLevel="0" collapsed="false">
      <c r="A151" s="11"/>
      <c r="B151" s="11"/>
      <c r="C151" s="11"/>
      <c r="D151" s="16"/>
      <c r="E151" s="11"/>
      <c r="F151" s="11"/>
      <c r="G151" s="9"/>
      <c r="H151" s="11"/>
      <c r="I151" s="17"/>
      <c r="J151" s="18" t="str">
        <f aca="false">IF($A151="","",IF(COUNT(Usage!$C:$C)=0,"",MAX(0,SUMIFS(Usage!$C:$C,Usage!$A:$A,$AF151,Usage!$B:$B,"&gt;="&amp;(PlanDate-AduWindow),Usage!$B:$B,"&lt;"&amp;PlanDate))/AduWindow))</f>
        <v/>
      </c>
      <c r="K151" s="18" t="str">
        <f aca="false">IF($A151="","",IF(AND(ISNUMBER($I151),N($I151)&gt;=0),$I151,$J151))</f>
        <v/>
      </c>
      <c r="L151" s="19" t="str">
        <f aca="false">IF($A151="","",IF($K151="","Needs ADU",IF($K151&lt;=0,"No recent demand",IF(N($D151)&lt;=0,"Needs lead time","Planned"))))</f>
        <v/>
      </c>
      <c r="M151" s="8" t="str">
        <f aca="false">IF($A151="","",IF(ISNUMBER(MATCH($C151,Profiles!$A$2:$A$100,0)),$C151,DefaultProfile))</f>
        <v/>
      </c>
      <c r="N151" s="20" t="str">
        <f aca="false">IF($A151="","",INDEX(Profiles!$D$2:$D$100,MATCH($M151,Profiles!$A$2:$A$100,0)))</f>
        <v/>
      </c>
      <c r="O151" s="20" t="str">
        <f aca="false">IF($A151="","",INDEX(Profiles!$E$2:$E$100,MATCH($M151,Profiles!$A$2:$A$100,0)))</f>
        <v/>
      </c>
      <c r="P151" s="21" t="str">
        <f aca="false">IF($L151&lt;&gt;"Planned","",$K151*$D151*$N151*(1+$O151))</f>
        <v/>
      </c>
      <c r="Q151" s="21" t="str">
        <f aca="false">IF($L151&lt;&gt;"Planned","",$K151*$D151)</f>
        <v/>
      </c>
      <c r="R151" s="21" t="str">
        <f aca="false">IF($L151&lt;&gt;"Planned","",MAX(N($E151),$K151*$D151*$N151,$K151*N($G151)))</f>
        <v/>
      </c>
      <c r="S151" s="21" t="str">
        <f aca="false">IF($L151&lt;&gt;"Planned","",$P151)</f>
        <v/>
      </c>
      <c r="T151" s="21" t="str">
        <f aca="false">IF($L151&lt;&gt;"Planned","",$P151+$Q151)</f>
        <v/>
      </c>
      <c r="U151" s="21" t="str">
        <f aca="false">IF($L151&lt;&gt;"Planned","",$T151+$R151)</f>
        <v/>
      </c>
      <c r="V151" s="8" t="str">
        <f aca="false">IF($A151="","",SUMIFS('Open supply'!$C:$C,'Open supply'!$A:$A,$AF151))</f>
        <v/>
      </c>
      <c r="W151" s="8" t="str">
        <f aca="false">IF($A151="","",SUMIFS('Open supply'!$C:$C,'Open supply'!$A:$A,$AF151,'Open supply'!$B:$B,"&lt;"&amp;PlanDate))</f>
        <v/>
      </c>
      <c r="X151" s="8" t="str">
        <f aca="false">IF($A151="","",SUMIFS('Open demand'!$G:$G,'Open demand'!$A:$A,$AF151))</f>
        <v/>
      </c>
      <c r="Y151" s="8" t="str">
        <f aca="false">IF($L151&lt;&gt;"Planned","",N($H151)+$V151-$X151)</f>
        <v/>
      </c>
      <c r="Z151" s="19" t="str">
        <f aca="false">IF($L151&lt;&gt;"Planned","",IF($Y151&lt;=$S151,"Red",IF($Y151&lt;=$T151,"Yellow",IF($Y151&lt;=$U151,"Green","Above green"))))</f>
        <v/>
      </c>
      <c r="AA151" s="22" t="str">
        <f aca="false">IF(OR($L151&lt;&gt;"Planned",N($U151)&lt;=0),"",$Y151/$U151)</f>
        <v/>
      </c>
      <c r="AB151" s="8" t="str">
        <f aca="false">IF($L151&lt;&gt;"Planned","",IF($Y151&lt;=$T151,ROUNDUP(MAX($U151-$Y151,N($E151))/IF(N($F151)&gt;0,$F151,1)-0.000000001,0)*IF(N($F151)&gt;0,$F151,1),""))</f>
        <v/>
      </c>
      <c r="AC151" s="23" t="str">
        <f aca="false">IF(N($AB151)&gt;0,PlanDate+ROUNDUP($D151,0),"")</f>
        <v/>
      </c>
      <c r="AD151" s="19" t="str">
        <f aca="false">IF($L151&lt;&gt;"Planned","",IF(N($H151)&lt;=0,"Stockout",IF(N($H151)&lt;$S151*0.5,"Critical",IF(N($H151)&lt;=$S151,"Low",IF(N($H151)&gt;$U151,"Over top of green","OK")))))</f>
        <v/>
      </c>
      <c r="AE151" s="8" t="str">
        <f aca="false">IF($A151="","",$A151&amp;"")</f>
        <v/>
      </c>
      <c r="AF151" s="8" t="str">
        <f aca="false">IF($A151="","",SUBSTITUTE(SUBSTITUTE(SUBSTITUTE($A151&amp;"","~","~~"),"*","~*"),"?","~?"))</f>
        <v/>
      </c>
    </row>
    <row r="152" customFormat="false" ht="15" hidden="false" customHeight="false" outlineLevel="0" collapsed="false">
      <c r="A152" s="11"/>
      <c r="B152" s="11"/>
      <c r="C152" s="11"/>
      <c r="D152" s="16"/>
      <c r="E152" s="11"/>
      <c r="F152" s="11"/>
      <c r="G152" s="9"/>
      <c r="H152" s="11"/>
      <c r="I152" s="17"/>
      <c r="J152" s="18" t="str">
        <f aca="false">IF($A152="","",IF(COUNT(Usage!$C:$C)=0,"",MAX(0,SUMIFS(Usage!$C:$C,Usage!$A:$A,$AF152,Usage!$B:$B,"&gt;="&amp;(PlanDate-AduWindow),Usage!$B:$B,"&lt;"&amp;PlanDate))/AduWindow))</f>
        <v/>
      </c>
      <c r="K152" s="18" t="str">
        <f aca="false">IF($A152="","",IF(AND(ISNUMBER($I152),N($I152)&gt;=0),$I152,$J152))</f>
        <v/>
      </c>
      <c r="L152" s="19" t="str">
        <f aca="false">IF($A152="","",IF($K152="","Needs ADU",IF($K152&lt;=0,"No recent demand",IF(N($D152)&lt;=0,"Needs lead time","Planned"))))</f>
        <v/>
      </c>
      <c r="M152" s="8" t="str">
        <f aca="false">IF($A152="","",IF(ISNUMBER(MATCH($C152,Profiles!$A$2:$A$100,0)),$C152,DefaultProfile))</f>
        <v/>
      </c>
      <c r="N152" s="20" t="str">
        <f aca="false">IF($A152="","",INDEX(Profiles!$D$2:$D$100,MATCH($M152,Profiles!$A$2:$A$100,0)))</f>
        <v/>
      </c>
      <c r="O152" s="20" t="str">
        <f aca="false">IF($A152="","",INDEX(Profiles!$E$2:$E$100,MATCH($M152,Profiles!$A$2:$A$100,0)))</f>
        <v/>
      </c>
      <c r="P152" s="21" t="str">
        <f aca="false">IF($L152&lt;&gt;"Planned","",$K152*$D152*$N152*(1+$O152))</f>
        <v/>
      </c>
      <c r="Q152" s="21" t="str">
        <f aca="false">IF($L152&lt;&gt;"Planned","",$K152*$D152)</f>
        <v/>
      </c>
      <c r="R152" s="21" t="str">
        <f aca="false">IF($L152&lt;&gt;"Planned","",MAX(N($E152),$K152*$D152*$N152,$K152*N($G152)))</f>
        <v/>
      </c>
      <c r="S152" s="21" t="str">
        <f aca="false">IF($L152&lt;&gt;"Planned","",$P152)</f>
        <v/>
      </c>
      <c r="T152" s="21" t="str">
        <f aca="false">IF($L152&lt;&gt;"Planned","",$P152+$Q152)</f>
        <v/>
      </c>
      <c r="U152" s="21" t="str">
        <f aca="false">IF($L152&lt;&gt;"Planned","",$T152+$R152)</f>
        <v/>
      </c>
      <c r="V152" s="8" t="str">
        <f aca="false">IF($A152="","",SUMIFS('Open supply'!$C:$C,'Open supply'!$A:$A,$AF152))</f>
        <v/>
      </c>
      <c r="W152" s="8" t="str">
        <f aca="false">IF($A152="","",SUMIFS('Open supply'!$C:$C,'Open supply'!$A:$A,$AF152,'Open supply'!$B:$B,"&lt;"&amp;PlanDate))</f>
        <v/>
      </c>
      <c r="X152" s="8" t="str">
        <f aca="false">IF($A152="","",SUMIFS('Open demand'!$G:$G,'Open demand'!$A:$A,$AF152))</f>
        <v/>
      </c>
      <c r="Y152" s="8" t="str">
        <f aca="false">IF($L152&lt;&gt;"Planned","",N($H152)+$V152-$X152)</f>
        <v/>
      </c>
      <c r="Z152" s="19" t="str">
        <f aca="false">IF($L152&lt;&gt;"Planned","",IF($Y152&lt;=$S152,"Red",IF($Y152&lt;=$T152,"Yellow",IF($Y152&lt;=$U152,"Green","Above green"))))</f>
        <v/>
      </c>
      <c r="AA152" s="22" t="str">
        <f aca="false">IF(OR($L152&lt;&gt;"Planned",N($U152)&lt;=0),"",$Y152/$U152)</f>
        <v/>
      </c>
      <c r="AB152" s="8" t="str">
        <f aca="false">IF($L152&lt;&gt;"Planned","",IF($Y152&lt;=$T152,ROUNDUP(MAX($U152-$Y152,N($E152))/IF(N($F152)&gt;0,$F152,1)-0.000000001,0)*IF(N($F152)&gt;0,$F152,1),""))</f>
        <v/>
      </c>
      <c r="AC152" s="23" t="str">
        <f aca="false">IF(N($AB152)&gt;0,PlanDate+ROUNDUP($D152,0),"")</f>
        <v/>
      </c>
      <c r="AD152" s="19" t="str">
        <f aca="false">IF($L152&lt;&gt;"Planned","",IF(N($H152)&lt;=0,"Stockout",IF(N($H152)&lt;$S152*0.5,"Critical",IF(N($H152)&lt;=$S152,"Low",IF(N($H152)&gt;$U152,"Over top of green","OK")))))</f>
        <v/>
      </c>
      <c r="AE152" s="8" t="str">
        <f aca="false">IF($A152="","",$A152&amp;"")</f>
        <v/>
      </c>
      <c r="AF152" s="8" t="str">
        <f aca="false">IF($A152="","",SUBSTITUTE(SUBSTITUTE(SUBSTITUTE($A152&amp;"","~","~~"),"*","~*"),"?","~?"))</f>
        <v/>
      </c>
    </row>
    <row r="153" customFormat="false" ht="15" hidden="false" customHeight="false" outlineLevel="0" collapsed="false">
      <c r="A153" s="11"/>
      <c r="B153" s="11"/>
      <c r="C153" s="11"/>
      <c r="D153" s="16"/>
      <c r="E153" s="11"/>
      <c r="F153" s="11"/>
      <c r="G153" s="9"/>
      <c r="H153" s="11"/>
      <c r="I153" s="17"/>
      <c r="J153" s="18" t="str">
        <f aca="false">IF($A153="","",IF(COUNT(Usage!$C:$C)=0,"",MAX(0,SUMIFS(Usage!$C:$C,Usage!$A:$A,$AF153,Usage!$B:$B,"&gt;="&amp;(PlanDate-AduWindow),Usage!$B:$B,"&lt;"&amp;PlanDate))/AduWindow))</f>
        <v/>
      </c>
      <c r="K153" s="18" t="str">
        <f aca="false">IF($A153="","",IF(AND(ISNUMBER($I153),N($I153)&gt;=0),$I153,$J153))</f>
        <v/>
      </c>
      <c r="L153" s="19" t="str">
        <f aca="false">IF($A153="","",IF($K153="","Needs ADU",IF($K153&lt;=0,"No recent demand",IF(N($D153)&lt;=0,"Needs lead time","Planned"))))</f>
        <v/>
      </c>
      <c r="M153" s="8" t="str">
        <f aca="false">IF($A153="","",IF(ISNUMBER(MATCH($C153,Profiles!$A$2:$A$100,0)),$C153,DefaultProfile))</f>
        <v/>
      </c>
      <c r="N153" s="20" t="str">
        <f aca="false">IF($A153="","",INDEX(Profiles!$D$2:$D$100,MATCH($M153,Profiles!$A$2:$A$100,0)))</f>
        <v/>
      </c>
      <c r="O153" s="20" t="str">
        <f aca="false">IF($A153="","",INDEX(Profiles!$E$2:$E$100,MATCH($M153,Profiles!$A$2:$A$100,0)))</f>
        <v/>
      </c>
      <c r="P153" s="21" t="str">
        <f aca="false">IF($L153&lt;&gt;"Planned","",$K153*$D153*$N153*(1+$O153))</f>
        <v/>
      </c>
      <c r="Q153" s="21" t="str">
        <f aca="false">IF($L153&lt;&gt;"Planned","",$K153*$D153)</f>
        <v/>
      </c>
      <c r="R153" s="21" t="str">
        <f aca="false">IF($L153&lt;&gt;"Planned","",MAX(N($E153),$K153*$D153*$N153,$K153*N($G153)))</f>
        <v/>
      </c>
      <c r="S153" s="21" t="str">
        <f aca="false">IF($L153&lt;&gt;"Planned","",$P153)</f>
        <v/>
      </c>
      <c r="T153" s="21" t="str">
        <f aca="false">IF($L153&lt;&gt;"Planned","",$P153+$Q153)</f>
        <v/>
      </c>
      <c r="U153" s="21" t="str">
        <f aca="false">IF($L153&lt;&gt;"Planned","",$T153+$R153)</f>
        <v/>
      </c>
      <c r="V153" s="8" t="str">
        <f aca="false">IF($A153="","",SUMIFS('Open supply'!$C:$C,'Open supply'!$A:$A,$AF153))</f>
        <v/>
      </c>
      <c r="W153" s="8" t="str">
        <f aca="false">IF($A153="","",SUMIFS('Open supply'!$C:$C,'Open supply'!$A:$A,$AF153,'Open supply'!$B:$B,"&lt;"&amp;PlanDate))</f>
        <v/>
      </c>
      <c r="X153" s="8" t="str">
        <f aca="false">IF($A153="","",SUMIFS('Open demand'!$G:$G,'Open demand'!$A:$A,$AF153))</f>
        <v/>
      </c>
      <c r="Y153" s="8" t="str">
        <f aca="false">IF($L153&lt;&gt;"Planned","",N($H153)+$V153-$X153)</f>
        <v/>
      </c>
      <c r="Z153" s="19" t="str">
        <f aca="false">IF($L153&lt;&gt;"Planned","",IF($Y153&lt;=$S153,"Red",IF($Y153&lt;=$T153,"Yellow",IF($Y153&lt;=$U153,"Green","Above green"))))</f>
        <v/>
      </c>
      <c r="AA153" s="22" t="str">
        <f aca="false">IF(OR($L153&lt;&gt;"Planned",N($U153)&lt;=0),"",$Y153/$U153)</f>
        <v/>
      </c>
      <c r="AB153" s="8" t="str">
        <f aca="false">IF($L153&lt;&gt;"Planned","",IF($Y153&lt;=$T153,ROUNDUP(MAX($U153-$Y153,N($E153))/IF(N($F153)&gt;0,$F153,1)-0.000000001,0)*IF(N($F153)&gt;0,$F153,1),""))</f>
        <v/>
      </c>
      <c r="AC153" s="23" t="str">
        <f aca="false">IF(N($AB153)&gt;0,PlanDate+ROUNDUP($D153,0),"")</f>
        <v/>
      </c>
      <c r="AD153" s="19" t="str">
        <f aca="false">IF($L153&lt;&gt;"Planned","",IF(N($H153)&lt;=0,"Stockout",IF(N($H153)&lt;$S153*0.5,"Critical",IF(N($H153)&lt;=$S153,"Low",IF(N($H153)&gt;$U153,"Over top of green","OK")))))</f>
        <v/>
      </c>
      <c r="AE153" s="8" t="str">
        <f aca="false">IF($A153="","",$A153&amp;"")</f>
        <v/>
      </c>
      <c r="AF153" s="8" t="str">
        <f aca="false">IF($A153="","",SUBSTITUTE(SUBSTITUTE(SUBSTITUTE($A153&amp;"","~","~~"),"*","~*"),"?","~?"))</f>
        <v/>
      </c>
    </row>
    <row r="154" customFormat="false" ht="15" hidden="false" customHeight="false" outlineLevel="0" collapsed="false">
      <c r="A154" s="11"/>
      <c r="B154" s="11"/>
      <c r="C154" s="11"/>
      <c r="D154" s="16"/>
      <c r="E154" s="11"/>
      <c r="F154" s="11"/>
      <c r="G154" s="9"/>
      <c r="H154" s="11"/>
      <c r="I154" s="17"/>
      <c r="J154" s="18" t="str">
        <f aca="false">IF($A154="","",IF(COUNT(Usage!$C:$C)=0,"",MAX(0,SUMIFS(Usage!$C:$C,Usage!$A:$A,$AF154,Usage!$B:$B,"&gt;="&amp;(PlanDate-AduWindow),Usage!$B:$B,"&lt;"&amp;PlanDate))/AduWindow))</f>
        <v/>
      </c>
      <c r="K154" s="18" t="str">
        <f aca="false">IF($A154="","",IF(AND(ISNUMBER($I154),N($I154)&gt;=0),$I154,$J154))</f>
        <v/>
      </c>
      <c r="L154" s="19" t="str">
        <f aca="false">IF($A154="","",IF($K154="","Needs ADU",IF($K154&lt;=0,"No recent demand",IF(N($D154)&lt;=0,"Needs lead time","Planned"))))</f>
        <v/>
      </c>
      <c r="M154" s="8" t="str">
        <f aca="false">IF($A154="","",IF(ISNUMBER(MATCH($C154,Profiles!$A$2:$A$100,0)),$C154,DefaultProfile))</f>
        <v/>
      </c>
      <c r="N154" s="20" t="str">
        <f aca="false">IF($A154="","",INDEX(Profiles!$D$2:$D$100,MATCH($M154,Profiles!$A$2:$A$100,0)))</f>
        <v/>
      </c>
      <c r="O154" s="20" t="str">
        <f aca="false">IF($A154="","",INDEX(Profiles!$E$2:$E$100,MATCH($M154,Profiles!$A$2:$A$100,0)))</f>
        <v/>
      </c>
      <c r="P154" s="21" t="str">
        <f aca="false">IF($L154&lt;&gt;"Planned","",$K154*$D154*$N154*(1+$O154))</f>
        <v/>
      </c>
      <c r="Q154" s="21" t="str">
        <f aca="false">IF($L154&lt;&gt;"Planned","",$K154*$D154)</f>
        <v/>
      </c>
      <c r="R154" s="21" t="str">
        <f aca="false">IF($L154&lt;&gt;"Planned","",MAX(N($E154),$K154*$D154*$N154,$K154*N($G154)))</f>
        <v/>
      </c>
      <c r="S154" s="21" t="str">
        <f aca="false">IF($L154&lt;&gt;"Planned","",$P154)</f>
        <v/>
      </c>
      <c r="T154" s="21" t="str">
        <f aca="false">IF($L154&lt;&gt;"Planned","",$P154+$Q154)</f>
        <v/>
      </c>
      <c r="U154" s="21" t="str">
        <f aca="false">IF($L154&lt;&gt;"Planned","",$T154+$R154)</f>
        <v/>
      </c>
      <c r="V154" s="8" t="str">
        <f aca="false">IF($A154="","",SUMIFS('Open supply'!$C:$C,'Open supply'!$A:$A,$AF154))</f>
        <v/>
      </c>
      <c r="W154" s="8" t="str">
        <f aca="false">IF($A154="","",SUMIFS('Open supply'!$C:$C,'Open supply'!$A:$A,$AF154,'Open supply'!$B:$B,"&lt;"&amp;PlanDate))</f>
        <v/>
      </c>
      <c r="X154" s="8" t="str">
        <f aca="false">IF($A154="","",SUMIFS('Open demand'!$G:$G,'Open demand'!$A:$A,$AF154))</f>
        <v/>
      </c>
      <c r="Y154" s="8" t="str">
        <f aca="false">IF($L154&lt;&gt;"Planned","",N($H154)+$V154-$X154)</f>
        <v/>
      </c>
      <c r="Z154" s="19" t="str">
        <f aca="false">IF($L154&lt;&gt;"Planned","",IF($Y154&lt;=$S154,"Red",IF($Y154&lt;=$T154,"Yellow",IF($Y154&lt;=$U154,"Green","Above green"))))</f>
        <v/>
      </c>
      <c r="AA154" s="22" t="str">
        <f aca="false">IF(OR($L154&lt;&gt;"Planned",N($U154)&lt;=0),"",$Y154/$U154)</f>
        <v/>
      </c>
      <c r="AB154" s="8" t="str">
        <f aca="false">IF($L154&lt;&gt;"Planned","",IF($Y154&lt;=$T154,ROUNDUP(MAX($U154-$Y154,N($E154))/IF(N($F154)&gt;0,$F154,1)-0.000000001,0)*IF(N($F154)&gt;0,$F154,1),""))</f>
        <v/>
      </c>
      <c r="AC154" s="23" t="str">
        <f aca="false">IF(N($AB154)&gt;0,PlanDate+ROUNDUP($D154,0),"")</f>
        <v/>
      </c>
      <c r="AD154" s="19" t="str">
        <f aca="false">IF($L154&lt;&gt;"Planned","",IF(N($H154)&lt;=0,"Stockout",IF(N($H154)&lt;$S154*0.5,"Critical",IF(N($H154)&lt;=$S154,"Low",IF(N($H154)&gt;$U154,"Over top of green","OK")))))</f>
        <v/>
      </c>
      <c r="AE154" s="8" t="str">
        <f aca="false">IF($A154="","",$A154&amp;"")</f>
        <v/>
      </c>
      <c r="AF154" s="8" t="str">
        <f aca="false">IF($A154="","",SUBSTITUTE(SUBSTITUTE(SUBSTITUTE($A154&amp;"","~","~~"),"*","~*"),"?","~?"))</f>
        <v/>
      </c>
    </row>
    <row r="155" customFormat="false" ht="15" hidden="false" customHeight="false" outlineLevel="0" collapsed="false">
      <c r="A155" s="11"/>
      <c r="B155" s="11"/>
      <c r="C155" s="11"/>
      <c r="D155" s="16"/>
      <c r="E155" s="11"/>
      <c r="F155" s="11"/>
      <c r="G155" s="9"/>
      <c r="H155" s="11"/>
      <c r="I155" s="17"/>
      <c r="J155" s="18" t="str">
        <f aca="false">IF($A155="","",IF(COUNT(Usage!$C:$C)=0,"",MAX(0,SUMIFS(Usage!$C:$C,Usage!$A:$A,$AF155,Usage!$B:$B,"&gt;="&amp;(PlanDate-AduWindow),Usage!$B:$B,"&lt;"&amp;PlanDate))/AduWindow))</f>
        <v/>
      </c>
      <c r="K155" s="18" t="str">
        <f aca="false">IF($A155="","",IF(AND(ISNUMBER($I155),N($I155)&gt;=0),$I155,$J155))</f>
        <v/>
      </c>
      <c r="L155" s="19" t="str">
        <f aca="false">IF($A155="","",IF($K155="","Needs ADU",IF($K155&lt;=0,"No recent demand",IF(N($D155)&lt;=0,"Needs lead time","Planned"))))</f>
        <v/>
      </c>
      <c r="M155" s="8" t="str">
        <f aca="false">IF($A155="","",IF(ISNUMBER(MATCH($C155,Profiles!$A$2:$A$100,0)),$C155,DefaultProfile))</f>
        <v/>
      </c>
      <c r="N155" s="20" t="str">
        <f aca="false">IF($A155="","",INDEX(Profiles!$D$2:$D$100,MATCH($M155,Profiles!$A$2:$A$100,0)))</f>
        <v/>
      </c>
      <c r="O155" s="20" t="str">
        <f aca="false">IF($A155="","",INDEX(Profiles!$E$2:$E$100,MATCH($M155,Profiles!$A$2:$A$100,0)))</f>
        <v/>
      </c>
      <c r="P155" s="21" t="str">
        <f aca="false">IF($L155&lt;&gt;"Planned","",$K155*$D155*$N155*(1+$O155))</f>
        <v/>
      </c>
      <c r="Q155" s="21" t="str">
        <f aca="false">IF($L155&lt;&gt;"Planned","",$K155*$D155)</f>
        <v/>
      </c>
      <c r="R155" s="21" t="str">
        <f aca="false">IF($L155&lt;&gt;"Planned","",MAX(N($E155),$K155*$D155*$N155,$K155*N($G155)))</f>
        <v/>
      </c>
      <c r="S155" s="21" t="str">
        <f aca="false">IF($L155&lt;&gt;"Planned","",$P155)</f>
        <v/>
      </c>
      <c r="T155" s="21" t="str">
        <f aca="false">IF($L155&lt;&gt;"Planned","",$P155+$Q155)</f>
        <v/>
      </c>
      <c r="U155" s="21" t="str">
        <f aca="false">IF($L155&lt;&gt;"Planned","",$T155+$R155)</f>
        <v/>
      </c>
      <c r="V155" s="8" t="str">
        <f aca="false">IF($A155="","",SUMIFS('Open supply'!$C:$C,'Open supply'!$A:$A,$AF155))</f>
        <v/>
      </c>
      <c r="W155" s="8" t="str">
        <f aca="false">IF($A155="","",SUMIFS('Open supply'!$C:$C,'Open supply'!$A:$A,$AF155,'Open supply'!$B:$B,"&lt;"&amp;PlanDate))</f>
        <v/>
      </c>
      <c r="X155" s="8" t="str">
        <f aca="false">IF($A155="","",SUMIFS('Open demand'!$G:$G,'Open demand'!$A:$A,$AF155))</f>
        <v/>
      </c>
      <c r="Y155" s="8" t="str">
        <f aca="false">IF($L155&lt;&gt;"Planned","",N($H155)+$V155-$X155)</f>
        <v/>
      </c>
      <c r="Z155" s="19" t="str">
        <f aca="false">IF($L155&lt;&gt;"Planned","",IF($Y155&lt;=$S155,"Red",IF($Y155&lt;=$T155,"Yellow",IF($Y155&lt;=$U155,"Green","Above green"))))</f>
        <v/>
      </c>
      <c r="AA155" s="22" t="str">
        <f aca="false">IF(OR($L155&lt;&gt;"Planned",N($U155)&lt;=0),"",$Y155/$U155)</f>
        <v/>
      </c>
      <c r="AB155" s="8" t="str">
        <f aca="false">IF($L155&lt;&gt;"Planned","",IF($Y155&lt;=$T155,ROUNDUP(MAX($U155-$Y155,N($E155))/IF(N($F155)&gt;0,$F155,1)-0.000000001,0)*IF(N($F155)&gt;0,$F155,1),""))</f>
        <v/>
      </c>
      <c r="AC155" s="23" t="str">
        <f aca="false">IF(N($AB155)&gt;0,PlanDate+ROUNDUP($D155,0),"")</f>
        <v/>
      </c>
      <c r="AD155" s="19" t="str">
        <f aca="false">IF($L155&lt;&gt;"Planned","",IF(N($H155)&lt;=0,"Stockout",IF(N($H155)&lt;$S155*0.5,"Critical",IF(N($H155)&lt;=$S155,"Low",IF(N($H155)&gt;$U155,"Over top of green","OK")))))</f>
        <v/>
      </c>
      <c r="AE155" s="8" t="str">
        <f aca="false">IF($A155="","",$A155&amp;"")</f>
        <v/>
      </c>
      <c r="AF155" s="8" t="str">
        <f aca="false">IF($A155="","",SUBSTITUTE(SUBSTITUTE(SUBSTITUTE($A155&amp;"","~","~~"),"*","~*"),"?","~?"))</f>
        <v/>
      </c>
    </row>
    <row r="156" customFormat="false" ht="15" hidden="false" customHeight="false" outlineLevel="0" collapsed="false">
      <c r="A156" s="11"/>
      <c r="B156" s="11"/>
      <c r="C156" s="11"/>
      <c r="D156" s="16"/>
      <c r="E156" s="11"/>
      <c r="F156" s="11"/>
      <c r="G156" s="9"/>
      <c r="H156" s="11"/>
      <c r="I156" s="17"/>
      <c r="J156" s="18" t="str">
        <f aca="false">IF($A156="","",IF(COUNT(Usage!$C:$C)=0,"",MAX(0,SUMIFS(Usage!$C:$C,Usage!$A:$A,$AF156,Usage!$B:$B,"&gt;="&amp;(PlanDate-AduWindow),Usage!$B:$B,"&lt;"&amp;PlanDate))/AduWindow))</f>
        <v/>
      </c>
      <c r="K156" s="18" t="str">
        <f aca="false">IF($A156="","",IF(AND(ISNUMBER($I156),N($I156)&gt;=0),$I156,$J156))</f>
        <v/>
      </c>
      <c r="L156" s="19" t="str">
        <f aca="false">IF($A156="","",IF($K156="","Needs ADU",IF($K156&lt;=0,"No recent demand",IF(N($D156)&lt;=0,"Needs lead time","Planned"))))</f>
        <v/>
      </c>
      <c r="M156" s="8" t="str">
        <f aca="false">IF($A156="","",IF(ISNUMBER(MATCH($C156,Profiles!$A$2:$A$100,0)),$C156,DefaultProfile))</f>
        <v/>
      </c>
      <c r="N156" s="20" t="str">
        <f aca="false">IF($A156="","",INDEX(Profiles!$D$2:$D$100,MATCH($M156,Profiles!$A$2:$A$100,0)))</f>
        <v/>
      </c>
      <c r="O156" s="20" t="str">
        <f aca="false">IF($A156="","",INDEX(Profiles!$E$2:$E$100,MATCH($M156,Profiles!$A$2:$A$100,0)))</f>
        <v/>
      </c>
      <c r="P156" s="21" t="str">
        <f aca="false">IF($L156&lt;&gt;"Planned","",$K156*$D156*$N156*(1+$O156))</f>
        <v/>
      </c>
      <c r="Q156" s="21" t="str">
        <f aca="false">IF($L156&lt;&gt;"Planned","",$K156*$D156)</f>
        <v/>
      </c>
      <c r="R156" s="21" t="str">
        <f aca="false">IF($L156&lt;&gt;"Planned","",MAX(N($E156),$K156*$D156*$N156,$K156*N($G156)))</f>
        <v/>
      </c>
      <c r="S156" s="21" t="str">
        <f aca="false">IF($L156&lt;&gt;"Planned","",$P156)</f>
        <v/>
      </c>
      <c r="T156" s="21" t="str">
        <f aca="false">IF($L156&lt;&gt;"Planned","",$P156+$Q156)</f>
        <v/>
      </c>
      <c r="U156" s="21" t="str">
        <f aca="false">IF($L156&lt;&gt;"Planned","",$T156+$R156)</f>
        <v/>
      </c>
      <c r="V156" s="8" t="str">
        <f aca="false">IF($A156="","",SUMIFS('Open supply'!$C:$C,'Open supply'!$A:$A,$AF156))</f>
        <v/>
      </c>
      <c r="W156" s="8" t="str">
        <f aca="false">IF($A156="","",SUMIFS('Open supply'!$C:$C,'Open supply'!$A:$A,$AF156,'Open supply'!$B:$B,"&lt;"&amp;PlanDate))</f>
        <v/>
      </c>
      <c r="X156" s="8" t="str">
        <f aca="false">IF($A156="","",SUMIFS('Open demand'!$G:$G,'Open demand'!$A:$A,$AF156))</f>
        <v/>
      </c>
      <c r="Y156" s="8" t="str">
        <f aca="false">IF($L156&lt;&gt;"Planned","",N($H156)+$V156-$X156)</f>
        <v/>
      </c>
      <c r="Z156" s="19" t="str">
        <f aca="false">IF($L156&lt;&gt;"Planned","",IF($Y156&lt;=$S156,"Red",IF($Y156&lt;=$T156,"Yellow",IF($Y156&lt;=$U156,"Green","Above green"))))</f>
        <v/>
      </c>
      <c r="AA156" s="22" t="str">
        <f aca="false">IF(OR($L156&lt;&gt;"Planned",N($U156)&lt;=0),"",$Y156/$U156)</f>
        <v/>
      </c>
      <c r="AB156" s="8" t="str">
        <f aca="false">IF($L156&lt;&gt;"Planned","",IF($Y156&lt;=$T156,ROUNDUP(MAX($U156-$Y156,N($E156))/IF(N($F156)&gt;0,$F156,1)-0.000000001,0)*IF(N($F156)&gt;0,$F156,1),""))</f>
        <v/>
      </c>
      <c r="AC156" s="23" t="str">
        <f aca="false">IF(N($AB156)&gt;0,PlanDate+ROUNDUP($D156,0),"")</f>
        <v/>
      </c>
      <c r="AD156" s="19" t="str">
        <f aca="false">IF($L156&lt;&gt;"Planned","",IF(N($H156)&lt;=0,"Stockout",IF(N($H156)&lt;$S156*0.5,"Critical",IF(N($H156)&lt;=$S156,"Low",IF(N($H156)&gt;$U156,"Over top of green","OK")))))</f>
        <v/>
      </c>
      <c r="AE156" s="8" t="str">
        <f aca="false">IF($A156="","",$A156&amp;"")</f>
        <v/>
      </c>
      <c r="AF156" s="8" t="str">
        <f aca="false">IF($A156="","",SUBSTITUTE(SUBSTITUTE(SUBSTITUTE($A156&amp;"","~","~~"),"*","~*"),"?","~?"))</f>
        <v/>
      </c>
    </row>
    <row r="157" customFormat="false" ht="15" hidden="false" customHeight="false" outlineLevel="0" collapsed="false">
      <c r="A157" s="11"/>
      <c r="B157" s="11"/>
      <c r="C157" s="11"/>
      <c r="D157" s="16"/>
      <c r="E157" s="11"/>
      <c r="F157" s="11"/>
      <c r="G157" s="9"/>
      <c r="H157" s="11"/>
      <c r="I157" s="17"/>
      <c r="J157" s="18" t="str">
        <f aca="false">IF($A157="","",IF(COUNT(Usage!$C:$C)=0,"",MAX(0,SUMIFS(Usage!$C:$C,Usage!$A:$A,$AF157,Usage!$B:$B,"&gt;="&amp;(PlanDate-AduWindow),Usage!$B:$B,"&lt;"&amp;PlanDate))/AduWindow))</f>
        <v/>
      </c>
      <c r="K157" s="18" t="str">
        <f aca="false">IF($A157="","",IF(AND(ISNUMBER($I157),N($I157)&gt;=0),$I157,$J157))</f>
        <v/>
      </c>
      <c r="L157" s="19" t="str">
        <f aca="false">IF($A157="","",IF($K157="","Needs ADU",IF($K157&lt;=0,"No recent demand",IF(N($D157)&lt;=0,"Needs lead time","Planned"))))</f>
        <v/>
      </c>
      <c r="M157" s="8" t="str">
        <f aca="false">IF($A157="","",IF(ISNUMBER(MATCH($C157,Profiles!$A$2:$A$100,0)),$C157,DefaultProfile))</f>
        <v/>
      </c>
      <c r="N157" s="20" t="str">
        <f aca="false">IF($A157="","",INDEX(Profiles!$D$2:$D$100,MATCH($M157,Profiles!$A$2:$A$100,0)))</f>
        <v/>
      </c>
      <c r="O157" s="20" t="str">
        <f aca="false">IF($A157="","",INDEX(Profiles!$E$2:$E$100,MATCH($M157,Profiles!$A$2:$A$100,0)))</f>
        <v/>
      </c>
      <c r="P157" s="21" t="str">
        <f aca="false">IF($L157&lt;&gt;"Planned","",$K157*$D157*$N157*(1+$O157))</f>
        <v/>
      </c>
      <c r="Q157" s="21" t="str">
        <f aca="false">IF($L157&lt;&gt;"Planned","",$K157*$D157)</f>
        <v/>
      </c>
      <c r="R157" s="21" t="str">
        <f aca="false">IF($L157&lt;&gt;"Planned","",MAX(N($E157),$K157*$D157*$N157,$K157*N($G157)))</f>
        <v/>
      </c>
      <c r="S157" s="21" t="str">
        <f aca="false">IF($L157&lt;&gt;"Planned","",$P157)</f>
        <v/>
      </c>
      <c r="T157" s="21" t="str">
        <f aca="false">IF($L157&lt;&gt;"Planned","",$P157+$Q157)</f>
        <v/>
      </c>
      <c r="U157" s="21" t="str">
        <f aca="false">IF($L157&lt;&gt;"Planned","",$T157+$R157)</f>
        <v/>
      </c>
      <c r="V157" s="8" t="str">
        <f aca="false">IF($A157="","",SUMIFS('Open supply'!$C:$C,'Open supply'!$A:$A,$AF157))</f>
        <v/>
      </c>
      <c r="W157" s="8" t="str">
        <f aca="false">IF($A157="","",SUMIFS('Open supply'!$C:$C,'Open supply'!$A:$A,$AF157,'Open supply'!$B:$B,"&lt;"&amp;PlanDate))</f>
        <v/>
      </c>
      <c r="X157" s="8" t="str">
        <f aca="false">IF($A157="","",SUMIFS('Open demand'!$G:$G,'Open demand'!$A:$A,$AF157))</f>
        <v/>
      </c>
      <c r="Y157" s="8" t="str">
        <f aca="false">IF($L157&lt;&gt;"Planned","",N($H157)+$V157-$X157)</f>
        <v/>
      </c>
      <c r="Z157" s="19" t="str">
        <f aca="false">IF($L157&lt;&gt;"Planned","",IF($Y157&lt;=$S157,"Red",IF($Y157&lt;=$T157,"Yellow",IF($Y157&lt;=$U157,"Green","Above green"))))</f>
        <v/>
      </c>
      <c r="AA157" s="22" t="str">
        <f aca="false">IF(OR($L157&lt;&gt;"Planned",N($U157)&lt;=0),"",$Y157/$U157)</f>
        <v/>
      </c>
      <c r="AB157" s="8" t="str">
        <f aca="false">IF($L157&lt;&gt;"Planned","",IF($Y157&lt;=$T157,ROUNDUP(MAX($U157-$Y157,N($E157))/IF(N($F157)&gt;0,$F157,1)-0.000000001,0)*IF(N($F157)&gt;0,$F157,1),""))</f>
        <v/>
      </c>
      <c r="AC157" s="23" t="str">
        <f aca="false">IF(N($AB157)&gt;0,PlanDate+ROUNDUP($D157,0),"")</f>
        <v/>
      </c>
      <c r="AD157" s="19" t="str">
        <f aca="false">IF($L157&lt;&gt;"Planned","",IF(N($H157)&lt;=0,"Stockout",IF(N($H157)&lt;$S157*0.5,"Critical",IF(N($H157)&lt;=$S157,"Low",IF(N($H157)&gt;$U157,"Over top of green","OK")))))</f>
        <v/>
      </c>
      <c r="AE157" s="8" t="str">
        <f aca="false">IF($A157="","",$A157&amp;"")</f>
        <v/>
      </c>
      <c r="AF157" s="8" t="str">
        <f aca="false">IF($A157="","",SUBSTITUTE(SUBSTITUTE(SUBSTITUTE($A157&amp;"","~","~~"),"*","~*"),"?","~?"))</f>
        <v/>
      </c>
    </row>
    <row r="158" customFormat="false" ht="15" hidden="false" customHeight="false" outlineLevel="0" collapsed="false">
      <c r="A158" s="11"/>
      <c r="B158" s="11"/>
      <c r="C158" s="11"/>
      <c r="D158" s="16"/>
      <c r="E158" s="11"/>
      <c r="F158" s="11"/>
      <c r="G158" s="9"/>
      <c r="H158" s="11"/>
      <c r="I158" s="17"/>
      <c r="J158" s="18" t="str">
        <f aca="false">IF($A158="","",IF(COUNT(Usage!$C:$C)=0,"",MAX(0,SUMIFS(Usage!$C:$C,Usage!$A:$A,$AF158,Usage!$B:$B,"&gt;="&amp;(PlanDate-AduWindow),Usage!$B:$B,"&lt;"&amp;PlanDate))/AduWindow))</f>
        <v/>
      </c>
      <c r="K158" s="18" t="str">
        <f aca="false">IF($A158="","",IF(AND(ISNUMBER($I158),N($I158)&gt;=0),$I158,$J158))</f>
        <v/>
      </c>
      <c r="L158" s="19" t="str">
        <f aca="false">IF($A158="","",IF($K158="","Needs ADU",IF($K158&lt;=0,"No recent demand",IF(N($D158)&lt;=0,"Needs lead time","Planned"))))</f>
        <v/>
      </c>
      <c r="M158" s="8" t="str">
        <f aca="false">IF($A158="","",IF(ISNUMBER(MATCH($C158,Profiles!$A$2:$A$100,0)),$C158,DefaultProfile))</f>
        <v/>
      </c>
      <c r="N158" s="20" t="str">
        <f aca="false">IF($A158="","",INDEX(Profiles!$D$2:$D$100,MATCH($M158,Profiles!$A$2:$A$100,0)))</f>
        <v/>
      </c>
      <c r="O158" s="20" t="str">
        <f aca="false">IF($A158="","",INDEX(Profiles!$E$2:$E$100,MATCH($M158,Profiles!$A$2:$A$100,0)))</f>
        <v/>
      </c>
      <c r="P158" s="21" t="str">
        <f aca="false">IF($L158&lt;&gt;"Planned","",$K158*$D158*$N158*(1+$O158))</f>
        <v/>
      </c>
      <c r="Q158" s="21" t="str">
        <f aca="false">IF($L158&lt;&gt;"Planned","",$K158*$D158)</f>
        <v/>
      </c>
      <c r="R158" s="21" t="str">
        <f aca="false">IF($L158&lt;&gt;"Planned","",MAX(N($E158),$K158*$D158*$N158,$K158*N($G158)))</f>
        <v/>
      </c>
      <c r="S158" s="21" t="str">
        <f aca="false">IF($L158&lt;&gt;"Planned","",$P158)</f>
        <v/>
      </c>
      <c r="T158" s="21" t="str">
        <f aca="false">IF($L158&lt;&gt;"Planned","",$P158+$Q158)</f>
        <v/>
      </c>
      <c r="U158" s="21" t="str">
        <f aca="false">IF($L158&lt;&gt;"Planned","",$T158+$R158)</f>
        <v/>
      </c>
      <c r="V158" s="8" t="str">
        <f aca="false">IF($A158="","",SUMIFS('Open supply'!$C:$C,'Open supply'!$A:$A,$AF158))</f>
        <v/>
      </c>
      <c r="W158" s="8" t="str">
        <f aca="false">IF($A158="","",SUMIFS('Open supply'!$C:$C,'Open supply'!$A:$A,$AF158,'Open supply'!$B:$B,"&lt;"&amp;PlanDate))</f>
        <v/>
      </c>
      <c r="X158" s="8" t="str">
        <f aca="false">IF($A158="","",SUMIFS('Open demand'!$G:$G,'Open demand'!$A:$A,$AF158))</f>
        <v/>
      </c>
      <c r="Y158" s="8" t="str">
        <f aca="false">IF($L158&lt;&gt;"Planned","",N($H158)+$V158-$X158)</f>
        <v/>
      </c>
      <c r="Z158" s="19" t="str">
        <f aca="false">IF($L158&lt;&gt;"Planned","",IF($Y158&lt;=$S158,"Red",IF($Y158&lt;=$T158,"Yellow",IF($Y158&lt;=$U158,"Green","Above green"))))</f>
        <v/>
      </c>
      <c r="AA158" s="22" t="str">
        <f aca="false">IF(OR($L158&lt;&gt;"Planned",N($U158)&lt;=0),"",$Y158/$U158)</f>
        <v/>
      </c>
      <c r="AB158" s="8" t="str">
        <f aca="false">IF($L158&lt;&gt;"Planned","",IF($Y158&lt;=$T158,ROUNDUP(MAX($U158-$Y158,N($E158))/IF(N($F158)&gt;0,$F158,1)-0.000000001,0)*IF(N($F158)&gt;0,$F158,1),""))</f>
        <v/>
      </c>
      <c r="AC158" s="23" t="str">
        <f aca="false">IF(N($AB158)&gt;0,PlanDate+ROUNDUP($D158,0),"")</f>
        <v/>
      </c>
      <c r="AD158" s="19" t="str">
        <f aca="false">IF($L158&lt;&gt;"Planned","",IF(N($H158)&lt;=0,"Stockout",IF(N($H158)&lt;$S158*0.5,"Critical",IF(N($H158)&lt;=$S158,"Low",IF(N($H158)&gt;$U158,"Over top of green","OK")))))</f>
        <v/>
      </c>
      <c r="AE158" s="8" t="str">
        <f aca="false">IF($A158="","",$A158&amp;"")</f>
        <v/>
      </c>
      <c r="AF158" s="8" t="str">
        <f aca="false">IF($A158="","",SUBSTITUTE(SUBSTITUTE(SUBSTITUTE($A158&amp;"","~","~~"),"*","~*"),"?","~?"))</f>
        <v/>
      </c>
    </row>
    <row r="159" customFormat="false" ht="15" hidden="false" customHeight="false" outlineLevel="0" collapsed="false">
      <c r="A159" s="11"/>
      <c r="B159" s="11"/>
      <c r="C159" s="11"/>
      <c r="D159" s="16"/>
      <c r="E159" s="11"/>
      <c r="F159" s="11"/>
      <c r="G159" s="9"/>
      <c r="H159" s="11"/>
      <c r="I159" s="17"/>
      <c r="J159" s="18" t="str">
        <f aca="false">IF($A159="","",IF(COUNT(Usage!$C:$C)=0,"",MAX(0,SUMIFS(Usage!$C:$C,Usage!$A:$A,$AF159,Usage!$B:$B,"&gt;="&amp;(PlanDate-AduWindow),Usage!$B:$B,"&lt;"&amp;PlanDate))/AduWindow))</f>
        <v/>
      </c>
      <c r="K159" s="18" t="str">
        <f aca="false">IF($A159="","",IF(AND(ISNUMBER($I159),N($I159)&gt;=0),$I159,$J159))</f>
        <v/>
      </c>
      <c r="L159" s="19" t="str">
        <f aca="false">IF($A159="","",IF($K159="","Needs ADU",IF($K159&lt;=0,"No recent demand",IF(N($D159)&lt;=0,"Needs lead time","Planned"))))</f>
        <v/>
      </c>
      <c r="M159" s="8" t="str">
        <f aca="false">IF($A159="","",IF(ISNUMBER(MATCH($C159,Profiles!$A$2:$A$100,0)),$C159,DefaultProfile))</f>
        <v/>
      </c>
      <c r="N159" s="20" t="str">
        <f aca="false">IF($A159="","",INDEX(Profiles!$D$2:$D$100,MATCH($M159,Profiles!$A$2:$A$100,0)))</f>
        <v/>
      </c>
      <c r="O159" s="20" t="str">
        <f aca="false">IF($A159="","",INDEX(Profiles!$E$2:$E$100,MATCH($M159,Profiles!$A$2:$A$100,0)))</f>
        <v/>
      </c>
      <c r="P159" s="21" t="str">
        <f aca="false">IF($L159&lt;&gt;"Planned","",$K159*$D159*$N159*(1+$O159))</f>
        <v/>
      </c>
      <c r="Q159" s="21" t="str">
        <f aca="false">IF($L159&lt;&gt;"Planned","",$K159*$D159)</f>
        <v/>
      </c>
      <c r="R159" s="21" t="str">
        <f aca="false">IF($L159&lt;&gt;"Planned","",MAX(N($E159),$K159*$D159*$N159,$K159*N($G159)))</f>
        <v/>
      </c>
      <c r="S159" s="21" t="str">
        <f aca="false">IF($L159&lt;&gt;"Planned","",$P159)</f>
        <v/>
      </c>
      <c r="T159" s="21" t="str">
        <f aca="false">IF($L159&lt;&gt;"Planned","",$P159+$Q159)</f>
        <v/>
      </c>
      <c r="U159" s="21" t="str">
        <f aca="false">IF($L159&lt;&gt;"Planned","",$T159+$R159)</f>
        <v/>
      </c>
      <c r="V159" s="8" t="str">
        <f aca="false">IF($A159="","",SUMIFS('Open supply'!$C:$C,'Open supply'!$A:$A,$AF159))</f>
        <v/>
      </c>
      <c r="W159" s="8" t="str">
        <f aca="false">IF($A159="","",SUMIFS('Open supply'!$C:$C,'Open supply'!$A:$A,$AF159,'Open supply'!$B:$B,"&lt;"&amp;PlanDate))</f>
        <v/>
      </c>
      <c r="X159" s="8" t="str">
        <f aca="false">IF($A159="","",SUMIFS('Open demand'!$G:$G,'Open demand'!$A:$A,$AF159))</f>
        <v/>
      </c>
      <c r="Y159" s="8" t="str">
        <f aca="false">IF($L159&lt;&gt;"Planned","",N($H159)+$V159-$X159)</f>
        <v/>
      </c>
      <c r="Z159" s="19" t="str">
        <f aca="false">IF($L159&lt;&gt;"Planned","",IF($Y159&lt;=$S159,"Red",IF($Y159&lt;=$T159,"Yellow",IF($Y159&lt;=$U159,"Green","Above green"))))</f>
        <v/>
      </c>
      <c r="AA159" s="22" t="str">
        <f aca="false">IF(OR($L159&lt;&gt;"Planned",N($U159)&lt;=0),"",$Y159/$U159)</f>
        <v/>
      </c>
      <c r="AB159" s="8" t="str">
        <f aca="false">IF($L159&lt;&gt;"Planned","",IF($Y159&lt;=$T159,ROUNDUP(MAX($U159-$Y159,N($E159))/IF(N($F159)&gt;0,$F159,1)-0.000000001,0)*IF(N($F159)&gt;0,$F159,1),""))</f>
        <v/>
      </c>
      <c r="AC159" s="23" t="str">
        <f aca="false">IF(N($AB159)&gt;0,PlanDate+ROUNDUP($D159,0),"")</f>
        <v/>
      </c>
      <c r="AD159" s="19" t="str">
        <f aca="false">IF($L159&lt;&gt;"Planned","",IF(N($H159)&lt;=0,"Stockout",IF(N($H159)&lt;$S159*0.5,"Critical",IF(N($H159)&lt;=$S159,"Low",IF(N($H159)&gt;$U159,"Over top of green","OK")))))</f>
        <v/>
      </c>
      <c r="AE159" s="8" t="str">
        <f aca="false">IF($A159="","",$A159&amp;"")</f>
        <v/>
      </c>
      <c r="AF159" s="8" t="str">
        <f aca="false">IF($A159="","",SUBSTITUTE(SUBSTITUTE(SUBSTITUTE($A159&amp;"","~","~~"),"*","~*"),"?","~?"))</f>
        <v/>
      </c>
    </row>
    <row r="160" customFormat="false" ht="15" hidden="false" customHeight="false" outlineLevel="0" collapsed="false">
      <c r="A160" s="11"/>
      <c r="B160" s="11"/>
      <c r="C160" s="11"/>
      <c r="D160" s="16"/>
      <c r="E160" s="11"/>
      <c r="F160" s="11"/>
      <c r="G160" s="9"/>
      <c r="H160" s="11"/>
      <c r="I160" s="17"/>
      <c r="J160" s="18" t="str">
        <f aca="false">IF($A160="","",IF(COUNT(Usage!$C:$C)=0,"",MAX(0,SUMIFS(Usage!$C:$C,Usage!$A:$A,$AF160,Usage!$B:$B,"&gt;="&amp;(PlanDate-AduWindow),Usage!$B:$B,"&lt;"&amp;PlanDate))/AduWindow))</f>
        <v/>
      </c>
      <c r="K160" s="18" t="str">
        <f aca="false">IF($A160="","",IF(AND(ISNUMBER($I160),N($I160)&gt;=0),$I160,$J160))</f>
        <v/>
      </c>
      <c r="L160" s="19" t="str">
        <f aca="false">IF($A160="","",IF($K160="","Needs ADU",IF($K160&lt;=0,"No recent demand",IF(N($D160)&lt;=0,"Needs lead time","Planned"))))</f>
        <v/>
      </c>
      <c r="M160" s="8" t="str">
        <f aca="false">IF($A160="","",IF(ISNUMBER(MATCH($C160,Profiles!$A$2:$A$100,0)),$C160,DefaultProfile))</f>
        <v/>
      </c>
      <c r="N160" s="20" t="str">
        <f aca="false">IF($A160="","",INDEX(Profiles!$D$2:$D$100,MATCH($M160,Profiles!$A$2:$A$100,0)))</f>
        <v/>
      </c>
      <c r="O160" s="20" t="str">
        <f aca="false">IF($A160="","",INDEX(Profiles!$E$2:$E$100,MATCH($M160,Profiles!$A$2:$A$100,0)))</f>
        <v/>
      </c>
      <c r="P160" s="21" t="str">
        <f aca="false">IF($L160&lt;&gt;"Planned","",$K160*$D160*$N160*(1+$O160))</f>
        <v/>
      </c>
      <c r="Q160" s="21" t="str">
        <f aca="false">IF($L160&lt;&gt;"Planned","",$K160*$D160)</f>
        <v/>
      </c>
      <c r="R160" s="21" t="str">
        <f aca="false">IF($L160&lt;&gt;"Planned","",MAX(N($E160),$K160*$D160*$N160,$K160*N($G160)))</f>
        <v/>
      </c>
      <c r="S160" s="21" t="str">
        <f aca="false">IF($L160&lt;&gt;"Planned","",$P160)</f>
        <v/>
      </c>
      <c r="T160" s="21" t="str">
        <f aca="false">IF($L160&lt;&gt;"Planned","",$P160+$Q160)</f>
        <v/>
      </c>
      <c r="U160" s="21" t="str">
        <f aca="false">IF($L160&lt;&gt;"Planned","",$T160+$R160)</f>
        <v/>
      </c>
      <c r="V160" s="8" t="str">
        <f aca="false">IF($A160="","",SUMIFS('Open supply'!$C:$C,'Open supply'!$A:$A,$AF160))</f>
        <v/>
      </c>
      <c r="W160" s="8" t="str">
        <f aca="false">IF($A160="","",SUMIFS('Open supply'!$C:$C,'Open supply'!$A:$A,$AF160,'Open supply'!$B:$B,"&lt;"&amp;PlanDate))</f>
        <v/>
      </c>
      <c r="X160" s="8" t="str">
        <f aca="false">IF($A160="","",SUMIFS('Open demand'!$G:$G,'Open demand'!$A:$A,$AF160))</f>
        <v/>
      </c>
      <c r="Y160" s="8" t="str">
        <f aca="false">IF($L160&lt;&gt;"Planned","",N($H160)+$V160-$X160)</f>
        <v/>
      </c>
      <c r="Z160" s="19" t="str">
        <f aca="false">IF($L160&lt;&gt;"Planned","",IF($Y160&lt;=$S160,"Red",IF($Y160&lt;=$T160,"Yellow",IF($Y160&lt;=$U160,"Green","Above green"))))</f>
        <v/>
      </c>
      <c r="AA160" s="22" t="str">
        <f aca="false">IF(OR($L160&lt;&gt;"Planned",N($U160)&lt;=0),"",$Y160/$U160)</f>
        <v/>
      </c>
      <c r="AB160" s="8" t="str">
        <f aca="false">IF($L160&lt;&gt;"Planned","",IF($Y160&lt;=$T160,ROUNDUP(MAX($U160-$Y160,N($E160))/IF(N($F160)&gt;0,$F160,1)-0.000000001,0)*IF(N($F160)&gt;0,$F160,1),""))</f>
        <v/>
      </c>
      <c r="AC160" s="23" t="str">
        <f aca="false">IF(N($AB160)&gt;0,PlanDate+ROUNDUP($D160,0),"")</f>
        <v/>
      </c>
      <c r="AD160" s="19" t="str">
        <f aca="false">IF($L160&lt;&gt;"Planned","",IF(N($H160)&lt;=0,"Stockout",IF(N($H160)&lt;$S160*0.5,"Critical",IF(N($H160)&lt;=$S160,"Low",IF(N($H160)&gt;$U160,"Over top of green","OK")))))</f>
        <v/>
      </c>
      <c r="AE160" s="8" t="str">
        <f aca="false">IF($A160="","",$A160&amp;"")</f>
        <v/>
      </c>
      <c r="AF160" s="8" t="str">
        <f aca="false">IF($A160="","",SUBSTITUTE(SUBSTITUTE(SUBSTITUTE($A160&amp;"","~","~~"),"*","~*"),"?","~?"))</f>
        <v/>
      </c>
    </row>
    <row r="161" customFormat="false" ht="15" hidden="false" customHeight="false" outlineLevel="0" collapsed="false">
      <c r="A161" s="11"/>
      <c r="B161" s="11"/>
      <c r="C161" s="11"/>
      <c r="D161" s="16"/>
      <c r="E161" s="11"/>
      <c r="F161" s="11"/>
      <c r="G161" s="9"/>
      <c r="H161" s="11"/>
      <c r="I161" s="17"/>
      <c r="J161" s="18" t="str">
        <f aca="false">IF($A161="","",IF(COUNT(Usage!$C:$C)=0,"",MAX(0,SUMIFS(Usage!$C:$C,Usage!$A:$A,$AF161,Usage!$B:$B,"&gt;="&amp;(PlanDate-AduWindow),Usage!$B:$B,"&lt;"&amp;PlanDate))/AduWindow))</f>
        <v/>
      </c>
      <c r="K161" s="18" t="str">
        <f aca="false">IF($A161="","",IF(AND(ISNUMBER($I161),N($I161)&gt;=0),$I161,$J161))</f>
        <v/>
      </c>
      <c r="L161" s="19" t="str">
        <f aca="false">IF($A161="","",IF($K161="","Needs ADU",IF($K161&lt;=0,"No recent demand",IF(N($D161)&lt;=0,"Needs lead time","Planned"))))</f>
        <v/>
      </c>
      <c r="M161" s="8" t="str">
        <f aca="false">IF($A161="","",IF(ISNUMBER(MATCH($C161,Profiles!$A$2:$A$100,0)),$C161,DefaultProfile))</f>
        <v/>
      </c>
      <c r="N161" s="20" t="str">
        <f aca="false">IF($A161="","",INDEX(Profiles!$D$2:$D$100,MATCH($M161,Profiles!$A$2:$A$100,0)))</f>
        <v/>
      </c>
      <c r="O161" s="20" t="str">
        <f aca="false">IF($A161="","",INDEX(Profiles!$E$2:$E$100,MATCH($M161,Profiles!$A$2:$A$100,0)))</f>
        <v/>
      </c>
      <c r="P161" s="21" t="str">
        <f aca="false">IF($L161&lt;&gt;"Planned","",$K161*$D161*$N161*(1+$O161))</f>
        <v/>
      </c>
      <c r="Q161" s="21" t="str">
        <f aca="false">IF($L161&lt;&gt;"Planned","",$K161*$D161)</f>
        <v/>
      </c>
      <c r="R161" s="21" t="str">
        <f aca="false">IF($L161&lt;&gt;"Planned","",MAX(N($E161),$K161*$D161*$N161,$K161*N($G161)))</f>
        <v/>
      </c>
      <c r="S161" s="21" t="str">
        <f aca="false">IF($L161&lt;&gt;"Planned","",$P161)</f>
        <v/>
      </c>
      <c r="T161" s="21" t="str">
        <f aca="false">IF($L161&lt;&gt;"Planned","",$P161+$Q161)</f>
        <v/>
      </c>
      <c r="U161" s="21" t="str">
        <f aca="false">IF($L161&lt;&gt;"Planned","",$T161+$R161)</f>
        <v/>
      </c>
      <c r="V161" s="8" t="str">
        <f aca="false">IF($A161="","",SUMIFS('Open supply'!$C:$C,'Open supply'!$A:$A,$AF161))</f>
        <v/>
      </c>
      <c r="W161" s="8" t="str">
        <f aca="false">IF($A161="","",SUMIFS('Open supply'!$C:$C,'Open supply'!$A:$A,$AF161,'Open supply'!$B:$B,"&lt;"&amp;PlanDate))</f>
        <v/>
      </c>
      <c r="X161" s="8" t="str">
        <f aca="false">IF($A161="","",SUMIFS('Open demand'!$G:$G,'Open demand'!$A:$A,$AF161))</f>
        <v/>
      </c>
      <c r="Y161" s="8" t="str">
        <f aca="false">IF($L161&lt;&gt;"Planned","",N($H161)+$V161-$X161)</f>
        <v/>
      </c>
      <c r="Z161" s="19" t="str">
        <f aca="false">IF($L161&lt;&gt;"Planned","",IF($Y161&lt;=$S161,"Red",IF($Y161&lt;=$T161,"Yellow",IF($Y161&lt;=$U161,"Green","Above green"))))</f>
        <v/>
      </c>
      <c r="AA161" s="22" t="str">
        <f aca="false">IF(OR($L161&lt;&gt;"Planned",N($U161)&lt;=0),"",$Y161/$U161)</f>
        <v/>
      </c>
      <c r="AB161" s="8" t="str">
        <f aca="false">IF($L161&lt;&gt;"Planned","",IF($Y161&lt;=$T161,ROUNDUP(MAX($U161-$Y161,N($E161))/IF(N($F161)&gt;0,$F161,1)-0.000000001,0)*IF(N($F161)&gt;0,$F161,1),""))</f>
        <v/>
      </c>
      <c r="AC161" s="23" t="str">
        <f aca="false">IF(N($AB161)&gt;0,PlanDate+ROUNDUP($D161,0),"")</f>
        <v/>
      </c>
      <c r="AD161" s="19" t="str">
        <f aca="false">IF($L161&lt;&gt;"Planned","",IF(N($H161)&lt;=0,"Stockout",IF(N($H161)&lt;$S161*0.5,"Critical",IF(N($H161)&lt;=$S161,"Low",IF(N($H161)&gt;$U161,"Over top of green","OK")))))</f>
        <v/>
      </c>
      <c r="AE161" s="8" t="str">
        <f aca="false">IF($A161="","",$A161&amp;"")</f>
        <v/>
      </c>
      <c r="AF161" s="8" t="str">
        <f aca="false">IF($A161="","",SUBSTITUTE(SUBSTITUTE(SUBSTITUTE($A161&amp;"","~","~~"),"*","~*"),"?","~?"))</f>
        <v/>
      </c>
    </row>
    <row r="162" customFormat="false" ht="15" hidden="false" customHeight="false" outlineLevel="0" collapsed="false">
      <c r="A162" s="11"/>
      <c r="B162" s="11"/>
      <c r="C162" s="11"/>
      <c r="D162" s="16"/>
      <c r="E162" s="11"/>
      <c r="F162" s="11"/>
      <c r="G162" s="9"/>
      <c r="H162" s="11"/>
      <c r="I162" s="17"/>
      <c r="J162" s="18" t="str">
        <f aca="false">IF($A162="","",IF(COUNT(Usage!$C:$C)=0,"",MAX(0,SUMIFS(Usage!$C:$C,Usage!$A:$A,$AF162,Usage!$B:$B,"&gt;="&amp;(PlanDate-AduWindow),Usage!$B:$B,"&lt;"&amp;PlanDate))/AduWindow))</f>
        <v/>
      </c>
      <c r="K162" s="18" t="str">
        <f aca="false">IF($A162="","",IF(AND(ISNUMBER($I162),N($I162)&gt;=0),$I162,$J162))</f>
        <v/>
      </c>
      <c r="L162" s="19" t="str">
        <f aca="false">IF($A162="","",IF($K162="","Needs ADU",IF($K162&lt;=0,"No recent demand",IF(N($D162)&lt;=0,"Needs lead time","Planned"))))</f>
        <v/>
      </c>
      <c r="M162" s="8" t="str">
        <f aca="false">IF($A162="","",IF(ISNUMBER(MATCH($C162,Profiles!$A$2:$A$100,0)),$C162,DefaultProfile))</f>
        <v/>
      </c>
      <c r="N162" s="20" t="str">
        <f aca="false">IF($A162="","",INDEX(Profiles!$D$2:$D$100,MATCH($M162,Profiles!$A$2:$A$100,0)))</f>
        <v/>
      </c>
      <c r="O162" s="20" t="str">
        <f aca="false">IF($A162="","",INDEX(Profiles!$E$2:$E$100,MATCH($M162,Profiles!$A$2:$A$100,0)))</f>
        <v/>
      </c>
      <c r="P162" s="21" t="str">
        <f aca="false">IF($L162&lt;&gt;"Planned","",$K162*$D162*$N162*(1+$O162))</f>
        <v/>
      </c>
      <c r="Q162" s="21" t="str">
        <f aca="false">IF($L162&lt;&gt;"Planned","",$K162*$D162)</f>
        <v/>
      </c>
      <c r="R162" s="21" t="str">
        <f aca="false">IF($L162&lt;&gt;"Planned","",MAX(N($E162),$K162*$D162*$N162,$K162*N($G162)))</f>
        <v/>
      </c>
      <c r="S162" s="21" t="str">
        <f aca="false">IF($L162&lt;&gt;"Planned","",$P162)</f>
        <v/>
      </c>
      <c r="T162" s="21" t="str">
        <f aca="false">IF($L162&lt;&gt;"Planned","",$P162+$Q162)</f>
        <v/>
      </c>
      <c r="U162" s="21" t="str">
        <f aca="false">IF($L162&lt;&gt;"Planned","",$T162+$R162)</f>
        <v/>
      </c>
      <c r="V162" s="8" t="str">
        <f aca="false">IF($A162="","",SUMIFS('Open supply'!$C:$C,'Open supply'!$A:$A,$AF162))</f>
        <v/>
      </c>
      <c r="W162" s="8" t="str">
        <f aca="false">IF($A162="","",SUMIFS('Open supply'!$C:$C,'Open supply'!$A:$A,$AF162,'Open supply'!$B:$B,"&lt;"&amp;PlanDate))</f>
        <v/>
      </c>
      <c r="X162" s="8" t="str">
        <f aca="false">IF($A162="","",SUMIFS('Open demand'!$G:$G,'Open demand'!$A:$A,$AF162))</f>
        <v/>
      </c>
      <c r="Y162" s="8" t="str">
        <f aca="false">IF($L162&lt;&gt;"Planned","",N($H162)+$V162-$X162)</f>
        <v/>
      </c>
      <c r="Z162" s="19" t="str">
        <f aca="false">IF($L162&lt;&gt;"Planned","",IF($Y162&lt;=$S162,"Red",IF($Y162&lt;=$T162,"Yellow",IF($Y162&lt;=$U162,"Green","Above green"))))</f>
        <v/>
      </c>
      <c r="AA162" s="22" t="str">
        <f aca="false">IF(OR($L162&lt;&gt;"Planned",N($U162)&lt;=0),"",$Y162/$U162)</f>
        <v/>
      </c>
      <c r="AB162" s="8" t="str">
        <f aca="false">IF($L162&lt;&gt;"Planned","",IF($Y162&lt;=$T162,ROUNDUP(MAX($U162-$Y162,N($E162))/IF(N($F162)&gt;0,$F162,1)-0.000000001,0)*IF(N($F162)&gt;0,$F162,1),""))</f>
        <v/>
      </c>
      <c r="AC162" s="23" t="str">
        <f aca="false">IF(N($AB162)&gt;0,PlanDate+ROUNDUP($D162,0),"")</f>
        <v/>
      </c>
      <c r="AD162" s="19" t="str">
        <f aca="false">IF($L162&lt;&gt;"Planned","",IF(N($H162)&lt;=0,"Stockout",IF(N($H162)&lt;$S162*0.5,"Critical",IF(N($H162)&lt;=$S162,"Low",IF(N($H162)&gt;$U162,"Over top of green","OK")))))</f>
        <v/>
      </c>
      <c r="AE162" s="8" t="str">
        <f aca="false">IF($A162="","",$A162&amp;"")</f>
        <v/>
      </c>
      <c r="AF162" s="8" t="str">
        <f aca="false">IF($A162="","",SUBSTITUTE(SUBSTITUTE(SUBSTITUTE($A162&amp;"","~","~~"),"*","~*"),"?","~?"))</f>
        <v/>
      </c>
    </row>
    <row r="163" customFormat="false" ht="15" hidden="false" customHeight="false" outlineLevel="0" collapsed="false">
      <c r="A163" s="11"/>
      <c r="B163" s="11"/>
      <c r="C163" s="11"/>
      <c r="D163" s="16"/>
      <c r="E163" s="11"/>
      <c r="F163" s="11"/>
      <c r="G163" s="9"/>
      <c r="H163" s="11"/>
      <c r="I163" s="17"/>
      <c r="J163" s="18" t="str">
        <f aca="false">IF($A163="","",IF(COUNT(Usage!$C:$C)=0,"",MAX(0,SUMIFS(Usage!$C:$C,Usage!$A:$A,$AF163,Usage!$B:$B,"&gt;="&amp;(PlanDate-AduWindow),Usage!$B:$B,"&lt;"&amp;PlanDate))/AduWindow))</f>
        <v/>
      </c>
      <c r="K163" s="18" t="str">
        <f aca="false">IF($A163="","",IF(AND(ISNUMBER($I163),N($I163)&gt;=0),$I163,$J163))</f>
        <v/>
      </c>
      <c r="L163" s="19" t="str">
        <f aca="false">IF($A163="","",IF($K163="","Needs ADU",IF($K163&lt;=0,"No recent demand",IF(N($D163)&lt;=0,"Needs lead time","Planned"))))</f>
        <v/>
      </c>
      <c r="M163" s="8" t="str">
        <f aca="false">IF($A163="","",IF(ISNUMBER(MATCH($C163,Profiles!$A$2:$A$100,0)),$C163,DefaultProfile))</f>
        <v/>
      </c>
      <c r="N163" s="20" t="str">
        <f aca="false">IF($A163="","",INDEX(Profiles!$D$2:$D$100,MATCH($M163,Profiles!$A$2:$A$100,0)))</f>
        <v/>
      </c>
      <c r="O163" s="20" t="str">
        <f aca="false">IF($A163="","",INDEX(Profiles!$E$2:$E$100,MATCH($M163,Profiles!$A$2:$A$100,0)))</f>
        <v/>
      </c>
      <c r="P163" s="21" t="str">
        <f aca="false">IF($L163&lt;&gt;"Planned","",$K163*$D163*$N163*(1+$O163))</f>
        <v/>
      </c>
      <c r="Q163" s="21" t="str">
        <f aca="false">IF($L163&lt;&gt;"Planned","",$K163*$D163)</f>
        <v/>
      </c>
      <c r="R163" s="21" t="str">
        <f aca="false">IF($L163&lt;&gt;"Planned","",MAX(N($E163),$K163*$D163*$N163,$K163*N($G163)))</f>
        <v/>
      </c>
      <c r="S163" s="21" t="str">
        <f aca="false">IF($L163&lt;&gt;"Planned","",$P163)</f>
        <v/>
      </c>
      <c r="T163" s="21" t="str">
        <f aca="false">IF($L163&lt;&gt;"Planned","",$P163+$Q163)</f>
        <v/>
      </c>
      <c r="U163" s="21" t="str">
        <f aca="false">IF($L163&lt;&gt;"Planned","",$T163+$R163)</f>
        <v/>
      </c>
      <c r="V163" s="8" t="str">
        <f aca="false">IF($A163="","",SUMIFS('Open supply'!$C:$C,'Open supply'!$A:$A,$AF163))</f>
        <v/>
      </c>
      <c r="W163" s="8" t="str">
        <f aca="false">IF($A163="","",SUMIFS('Open supply'!$C:$C,'Open supply'!$A:$A,$AF163,'Open supply'!$B:$B,"&lt;"&amp;PlanDate))</f>
        <v/>
      </c>
      <c r="X163" s="8" t="str">
        <f aca="false">IF($A163="","",SUMIFS('Open demand'!$G:$G,'Open demand'!$A:$A,$AF163))</f>
        <v/>
      </c>
      <c r="Y163" s="8" t="str">
        <f aca="false">IF($L163&lt;&gt;"Planned","",N($H163)+$V163-$X163)</f>
        <v/>
      </c>
      <c r="Z163" s="19" t="str">
        <f aca="false">IF($L163&lt;&gt;"Planned","",IF($Y163&lt;=$S163,"Red",IF($Y163&lt;=$T163,"Yellow",IF($Y163&lt;=$U163,"Green","Above green"))))</f>
        <v/>
      </c>
      <c r="AA163" s="22" t="str">
        <f aca="false">IF(OR($L163&lt;&gt;"Planned",N($U163)&lt;=0),"",$Y163/$U163)</f>
        <v/>
      </c>
      <c r="AB163" s="8" t="str">
        <f aca="false">IF($L163&lt;&gt;"Planned","",IF($Y163&lt;=$T163,ROUNDUP(MAX($U163-$Y163,N($E163))/IF(N($F163)&gt;0,$F163,1)-0.000000001,0)*IF(N($F163)&gt;0,$F163,1),""))</f>
        <v/>
      </c>
      <c r="AC163" s="23" t="str">
        <f aca="false">IF(N($AB163)&gt;0,PlanDate+ROUNDUP($D163,0),"")</f>
        <v/>
      </c>
      <c r="AD163" s="19" t="str">
        <f aca="false">IF($L163&lt;&gt;"Planned","",IF(N($H163)&lt;=0,"Stockout",IF(N($H163)&lt;$S163*0.5,"Critical",IF(N($H163)&lt;=$S163,"Low",IF(N($H163)&gt;$U163,"Over top of green","OK")))))</f>
        <v/>
      </c>
      <c r="AE163" s="8" t="str">
        <f aca="false">IF($A163="","",$A163&amp;"")</f>
        <v/>
      </c>
      <c r="AF163" s="8" t="str">
        <f aca="false">IF($A163="","",SUBSTITUTE(SUBSTITUTE(SUBSTITUTE($A163&amp;"","~","~~"),"*","~*"),"?","~?"))</f>
        <v/>
      </c>
    </row>
    <row r="164" customFormat="false" ht="15" hidden="false" customHeight="false" outlineLevel="0" collapsed="false">
      <c r="A164" s="11"/>
      <c r="B164" s="11"/>
      <c r="C164" s="11"/>
      <c r="D164" s="16"/>
      <c r="E164" s="11"/>
      <c r="F164" s="11"/>
      <c r="G164" s="9"/>
      <c r="H164" s="11"/>
      <c r="I164" s="17"/>
      <c r="J164" s="18" t="str">
        <f aca="false">IF($A164="","",IF(COUNT(Usage!$C:$C)=0,"",MAX(0,SUMIFS(Usage!$C:$C,Usage!$A:$A,$AF164,Usage!$B:$B,"&gt;="&amp;(PlanDate-AduWindow),Usage!$B:$B,"&lt;"&amp;PlanDate))/AduWindow))</f>
        <v/>
      </c>
      <c r="K164" s="18" t="str">
        <f aca="false">IF($A164="","",IF(AND(ISNUMBER($I164),N($I164)&gt;=0),$I164,$J164))</f>
        <v/>
      </c>
      <c r="L164" s="19" t="str">
        <f aca="false">IF($A164="","",IF($K164="","Needs ADU",IF($K164&lt;=0,"No recent demand",IF(N($D164)&lt;=0,"Needs lead time","Planned"))))</f>
        <v/>
      </c>
      <c r="M164" s="8" t="str">
        <f aca="false">IF($A164="","",IF(ISNUMBER(MATCH($C164,Profiles!$A$2:$A$100,0)),$C164,DefaultProfile))</f>
        <v/>
      </c>
      <c r="N164" s="20" t="str">
        <f aca="false">IF($A164="","",INDEX(Profiles!$D$2:$D$100,MATCH($M164,Profiles!$A$2:$A$100,0)))</f>
        <v/>
      </c>
      <c r="O164" s="20" t="str">
        <f aca="false">IF($A164="","",INDEX(Profiles!$E$2:$E$100,MATCH($M164,Profiles!$A$2:$A$100,0)))</f>
        <v/>
      </c>
      <c r="P164" s="21" t="str">
        <f aca="false">IF($L164&lt;&gt;"Planned","",$K164*$D164*$N164*(1+$O164))</f>
        <v/>
      </c>
      <c r="Q164" s="21" t="str">
        <f aca="false">IF($L164&lt;&gt;"Planned","",$K164*$D164)</f>
        <v/>
      </c>
      <c r="R164" s="21" t="str">
        <f aca="false">IF($L164&lt;&gt;"Planned","",MAX(N($E164),$K164*$D164*$N164,$K164*N($G164)))</f>
        <v/>
      </c>
      <c r="S164" s="21" t="str">
        <f aca="false">IF($L164&lt;&gt;"Planned","",$P164)</f>
        <v/>
      </c>
      <c r="T164" s="21" t="str">
        <f aca="false">IF($L164&lt;&gt;"Planned","",$P164+$Q164)</f>
        <v/>
      </c>
      <c r="U164" s="21" t="str">
        <f aca="false">IF($L164&lt;&gt;"Planned","",$T164+$R164)</f>
        <v/>
      </c>
      <c r="V164" s="8" t="str">
        <f aca="false">IF($A164="","",SUMIFS('Open supply'!$C:$C,'Open supply'!$A:$A,$AF164))</f>
        <v/>
      </c>
      <c r="W164" s="8" t="str">
        <f aca="false">IF($A164="","",SUMIFS('Open supply'!$C:$C,'Open supply'!$A:$A,$AF164,'Open supply'!$B:$B,"&lt;"&amp;PlanDate))</f>
        <v/>
      </c>
      <c r="X164" s="8" t="str">
        <f aca="false">IF($A164="","",SUMIFS('Open demand'!$G:$G,'Open demand'!$A:$A,$AF164))</f>
        <v/>
      </c>
      <c r="Y164" s="8" t="str">
        <f aca="false">IF($L164&lt;&gt;"Planned","",N($H164)+$V164-$X164)</f>
        <v/>
      </c>
      <c r="Z164" s="19" t="str">
        <f aca="false">IF($L164&lt;&gt;"Planned","",IF($Y164&lt;=$S164,"Red",IF($Y164&lt;=$T164,"Yellow",IF($Y164&lt;=$U164,"Green","Above green"))))</f>
        <v/>
      </c>
      <c r="AA164" s="22" t="str">
        <f aca="false">IF(OR($L164&lt;&gt;"Planned",N($U164)&lt;=0),"",$Y164/$U164)</f>
        <v/>
      </c>
      <c r="AB164" s="8" t="str">
        <f aca="false">IF($L164&lt;&gt;"Planned","",IF($Y164&lt;=$T164,ROUNDUP(MAX($U164-$Y164,N($E164))/IF(N($F164)&gt;0,$F164,1)-0.000000001,0)*IF(N($F164)&gt;0,$F164,1),""))</f>
        <v/>
      </c>
      <c r="AC164" s="23" t="str">
        <f aca="false">IF(N($AB164)&gt;0,PlanDate+ROUNDUP($D164,0),"")</f>
        <v/>
      </c>
      <c r="AD164" s="19" t="str">
        <f aca="false">IF($L164&lt;&gt;"Planned","",IF(N($H164)&lt;=0,"Stockout",IF(N($H164)&lt;$S164*0.5,"Critical",IF(N($H164)&lt;=$S164,"Low",IF(N($H164)&gt;$U164,"Over top of green","OK")))))</f>
        <v/>
      </c>
      <c r="AE164" s="8" t="str">
        <f aca="false">IF($A164="","",$A164&amp;"")</f>
        <v/>
      </c>
      <c r="AF164" s="8" t="str">
        <f aca="false">IF($A164="","",SUBSTITUTE(SUBSTITUTE(SUBSTITUTE($A164&amp;"","~","~~"),"*","~*"),"?","~?"))</f>
        <v/>
      </c>
    </row>
    <row r="165" customFormat="false" ht="15" hidden="false" customHeight="false" outlineLevel="0" collapsed="false">
      <c r="A165" s="11"/>
      <c r="B165" s="11"/>
      <c r="C165" s="11"/>
      <c r="D165" s="16"/>
      <c r="E165" s="11"/>
      <c r="F165" s="11"/>
      <c r="G165" s="9"/>
      <c r="H165" s="11"/>
      <c r="I165" s="17"/>
      <c r="J165" s="18" t="str">
        <f aca="false">IF($A165="","",IF(COUNT(Usage!$C:$C)=0,"",MAX(0,SUMIFS(Usage!$C:$C,Usage!$A:$A,$AF165,Usage!$B:$B,"&gt;="&amp;(PlanDate-AduWindow),Usage!$B:$B,"&lt;"&amp;PlanDate))/AduWindow))</f>
        <v/>
      </c>
      <c r="K165" s="18" t="str">
        <f aca="false">IF($A165="","",IF(AND(ISNUMBER($I165),N($I165)&gt;=0),$I165,$J165))</f>
        <v/>
      </c>
      <c r="L165" s="19" t="str">
        <f aca="false">IF($A165="","",IF($K165="","Needs ADU",IF($K165&lt;=0,"No recent demand",IF(N($D165)&lt;=0,"Needs lead time","Planned"))))</f>
        <v/>
      </c>
      <c r="M165" s="8" t="str">
        <f aca="false">IF($A165="","",IF(ISNUMBER(MATCH($C165,Profiles!$A$2:$A$100,0)),$C165,DefaultProfile))</f>
        <v/>
      </c>
      <c r="N165" s="20" t="str">
        <f aca="false">IF($A165="","",INDEX(Profiles!$D$2:$D$100,MATCH($M165,Profiles!$A$2:$A$100,0)))</f>
        <v/>
      </c>
      <c r="O165" s="20" t="str">
        <f aca="false">IF($A165="","",INDEX(Profiles!$E$2:$E$100,MATCH($M165,Profiles!$A$2:$A$100,0)))</f>
        <v/>
      </c>
      <c r="P165" s="21" t="str">
        <f aca="false">IF($L165&lt;&gt;"Planned","",$K165*$D165*$N165*(1+$O165))</f>
        <v/>
      </c>
      <c r="Q165" s="21" t="str">
        <f aca="false">IF($L165&lt;&gt;"Planned","",$K165*$D165)</f>
        <v/>
      </c>
      <c r="R165" s="21" t="str">
        <f aca="false">IF($L165&lt;&gt;"Planned","",MAX(N($E165),$K165*$D165*$N165,$K165*N($G165)))</f>
        <v/>
      </c>
      <c r="S165" s="21" t="str">
        <f aca="false">IF($L165&lt;&gt;"Planned","",$P165)</f>
        <v/>
      </c>
      <c r="T165" s="21" t="str">
        <f aca="false">IF($L165&lt;&gt;"Planned","",$P165+$Q165)</f>
        <v/>
      </c>
      <c r="U165" s="21" t="str">
        <f aca="false">IF($L165&lt;&gt;"Planned","",$T165+$R165)</f>
        <v/>
      </c>
      <c r="V165" s="8" t="str">
        <f aca="false">IF($A165="","",SUMIFS('Open supply'!$C:$C,'Open supply'!$A:$A,$AF165))</f>
        <v/>
      </c>
      <c r="W165" s="8" t="str">
        <f aca="false">IF($A165="","",SUMIFS('Open supply'!$C:$C,'Open supply'!$A:$A,$AF165,'Open supply'!$B:$B,"&lt;"&amp;PlanDate))</f>
        <v/>
      </c>
      <c r="X165" s="8" t="str">
        <f aca="false">IF($A165="","",SUMIFS('Open demand'!$G:$G,'Open demand'!$A:$A,$AF165))</f>
        <v/>
      </c>
      <c r="Y165" s="8" t="str">
        <f aca="false">IF($L165&lt;&gt;"Planned","",N($H165)+$V165-$X165)</f>
        <v/>
      </c>
      <c r="Z165" s="19" t="str">
        <f aca="false">IF($L165&lt;&gt;"Planned","",IF($Y165&lt;=$S165,"Red",IF($Y165&lt;=$T165,"Yellow",IF($Y165&lt;=$U165,"Green","Above green"))))</f>
        <v/>
      </c>
      <c r="AA165" s="22" t="str">
        <f aca="false">IF(OR($L165&lt;&gt;"Planned",N($U165)&lt;=0),"",$Y165/$U165)</f>
        <v/>
      </c>
      <c r="AB165" s="8" t="str">
        <f aca="false">IF($L165&lt;&gt;"Planned","",IF($Y165&lt;=$T165,ROUNDUP(MAX($U165-$Y165,N($E165))/IF(N($F165)&gt;0,$F165,1)-0.000000001,0)*IF(N($F165)&gt;0,$F165,1),""))</f>
        <v/>
      </c>
      <c r="AC165" s="23" t="str">
        <f aca="false">IF(N($AB165)&gt;0,PlanDate+ROUNDUP($D165,0),"")</f>
        <v/>
      </c>
      <c r="AD165" s="19" t="str">
        <f aca="false">IF($L165&lt;&gt;"Planned","",IF(N($H165)&lt;=0,"Stockout",IF(N($H165)&lt;$S165*0.5,"Critical",IF(N($H165)&lt;=$S165,"Low",IF(N($H165)&gt;$U165,"Over top of green","OK")))))</f>
        <v/>
      </c>
      <c r="AE165" s="8" t="str">
        <f aca="false">IF($A165="","",$A165&amp;"")</f>
        <v/>
      </c>
      <c r="AF165" s="8" t="str">
        <f aca="false">IF($A165="","",SUBSTITUTE(SUBSTITUTE(SUBSTITUTE($A165&amp;"","~","~~"),"*","~*"),"?","~?"))</f>
        <v/>
      </c>
    </row>
    <row r="166" customFormat="false" ht="15" hidden="false" customHeight="false" outlineLevel="0" collapsed="false">
      <c r="A166" s="11"/>
      <c r="B166" s="11"/>
      <c r="C166" s="11"/>
      <c r="D166" s="16"/>
      <c r="E166" s="11"/>
      <c r="F166" s="11"/>
      <c r="G166" s="9"/>
      <c r="H166" s="11"/>
      <c r="I166" s="17"/>
      <c r="J166" s="18" t="str">
        <f aca="false">IF($A166="","",IF(COUNT(Usage!$C:$C)=0,"",MAX(0,SUMIFS(Usage!$C:$C,Usage!$A:$A,$AF166,Usage!$B:$B,"&gt;="&amp;(PlanDate-AduWindow),Usage!$B:$B,"&lt;"&amp;PlanDate))/AduWindow))</f>
        <v/>
      </c>
      <c r="K166" s="18" t="str">
        <f aca="false">IF($A166="","",IF(AND(ISNUMBER($I166),N($I166)&gt;=0),$I166,$J166))</f>
        <v/>
      </c>
      <c r="L166" s="19" t="str">
        <f aca="false">IF($A166="","",IF($K166="","Needs ADU",IF($K166&lt;=0,"No recent demand",IF(N($D166)&lt;=0,"Needs lead time","Planned"))))</f>
        <v/>
      </c>
      <c r="M166" s="8" t="str">
        <f aca="false">IF($A166="","",IF(ISNUMBER(MATCH($C166,Profiles!$A$2:$A$100,0)),$C166,DefaultProfile))</f>
        <v/>
      </c>
      <c r="N166" s="20" t="str">
        <f aca="false">IF($A166="","",INDEX(Profiles!$D$2:$D$100,MATCH($M166,Profiles!$A$2:$A$100,0)))</f>
        <v/>
      </c>
      <c r="O166" s="20" t="str">
        <f aca="false">IF($A166="","",INDEX(Profiles!$E$2:$E$100,MATCH($M166,Profiles!$A$2:$A$100,0)))</f>
        <v/>
      </c>
      <c r="P166" s="21" t="str">
        <f aca="false">IF($L166&lt;&gt;"Planned","",$K166*$D166*$N166*(1+$O166))</f>
        <v/>
      </c>
      <c r="Q166" s="21" t="str">
        <f aca="false">IF($L166&lt;&gt;"Planned","",$K166*$D166)</f>
        <v/>
      </c>
      <c r="R166" s="21" t="str">
        <f aca="false">IF($L166&lt;&gt;"Planned","",MAX(N($E166),$K166*$D166*$N166,$K166*N($G166)))</f>
        <v/>
      </c>
      <c r="S166" s="21" t="str">
        <f aca="false">IF($L166&lt;&gt;"Planned","",$P166)</f>
        <v/>
      </c>
      <c r="T166" s="21" t="str">
        <f aca="false">IF($L166&lt;&gt;"Planned","",$P166+$Q166)</f>
        <v/>
      </c>
      <c r="U166" s="21" t="str">
        <f aca="false">IF($L166&lt;&gt;"Planned","",$T166+$R166)</f>
        <v/>
      </c>
      <c r="V166" s="8" t="str">
        <f aca="false">IF($A166="","",SUMIFS('Open supply'!$C:$C,'Open supply'!$A:$A,$AF166))</f>
        <v/>
      </c>
      <c r="W166" s="8" t="str">
        <f aca="false">IF($A166="","",SUMIFS('Open supply'!$C:$C,'Open supply'!$A:$A,$AF166,'Open supply'!$B:$B,"&lt;"&amp;PlanDate))</f>
        <v/>
      </c>
      <c r="X166" s="8" t="str">
        <f aca="false">IF($A166="","",SUMIFS('Open demand'!$G:$G,'Open demand'!$A:$A,$AF166))</f>
        <v/>
      </c>
      <c r="Y166" s="8" t="str">
        <f aca="false">IF($L166&lt;&gt;"Planned","",N($H166)+$V166-$X166)</f>
        <v/>
      </c>
      <c r="Z166" s="19" t="str">
        <f aca="false">IF($L166&lt;&gt;"Planned","",IF($Y166&lt;=$S166,"Red",IF($Y166&lt;=$T166,"Yellow",IF($Y166&lt;=$U166,"Green","Above green"))))</f>
        <v/>
      </c>
      <c r="AA166" s="22" t="str">
        <f aca="false">IF(OR($L166&lt;&gt;"Planned",N($U166)&lt;=0),"",$Y166/$U166)</f>
        <v/>
      </c>
      <c r="AB166" s="8" t="str">
        <f aca="false">IF($L166&lt;&gt;"Planned","",IF($Y166&lt;=$T166,ROUNDUP(MAX($U166-$Y166,N($E166))/IF(N($F166)&gt;0,$F166,1)-0.000000001,0)*IF(N($F166)&gt;0,$F166,1),""))</f>
        <v/>
      </c>
      <c r="AC166" s="23" t="str">
        <f aca="false">IF(N($AB166)&gt;0,PlanDate+ROUNDUP($D166,0),"")</f>
        <v/>
      </c>
      <c r="AD166" s="19" t="str">
        <f aca="false">IF($L166&lt;&gt;"Planned","",IF(N($H166)&lt;=0,"Stockout",IF(N($H166)&lt;$S166*0.5,"Critical",IF(N($H166)&lt;=$S166,"Low",IF(N($H166)&gt;$U166,"Over top of green","OK")))))</f>
        <v/>
      </c>
      <c r="AE166" s="8" t="str">
        <f aca="false">IF($A166="","",$A166&amp;"")</f>
        <v/>
      </c>
      <c r="AF166" s="8" t="str">
        <f aca="false">IF($A166="","",SUBSTITUTE(SUBSTITUTE(SUBSTITUTE($A166&amp;"","~","~~"),"*","~*"),"?","~?"))</f>
        <v/>
      </c>
    </row>
    <row r="167" customFormat="false" ht="15" hidden="false" customHeight="false" outlineLevel="0" collapsed="false">
      <c r="A167" s="11"/>
      <c r="B167" s="11"/>
      <c r="C167" s="11"/>
      <c r="D167" s="16"/>
      <c r="E167" s="11"/>
      <c r="F167" s="11"/>
      <c r="G167" s="9"/>
      <c r="H167" s="11"/>
      <c r="I167" s="17"/>
      <c r="J167" s="18" t="str">
        <f aca="false">IF($A167="","",IF(COUNT(Usage!$C:$C)=0,"",MAX(0,SUMIFS(Usage!$C:$C,Usage!$A:$A,$AF167,Usage!$B:$B,"&gt;="&amp;(PlanDate-AduWindow),Usage!$B:$B,"&lt;"&amp;PlanDate))/AduWindow))</f>
        <v/>
      </c>
      <c r="K167" s="18" t="str">
        <f aca="false">IF($A167="","",IF(AND(ISNUMBER($I167),N($I167)&gt;=0),$I167,$J167))</f>
        <v/>
      </c>
      <c r="L167" s="19" t="str">
        <f aca="false">IF($A167="","",IF($K167="","Needs ADU",IF($K167&lt;=0,"No recent demand",IF(N($D167)&lt;=0,"Needs lead time","Planned"))))</f>
        <v/>
      </c>
      <c r="M167" s="8" t="str">
        <f aca="false">IF($A167="","",IF(ISNUMBER(MATCH($C167,Profiles!$A$2:$A$100,0)),$C167,DefaultProfile))</f>
        <v/>
      </c>
      <c r="N167" s="20" t="str">
        <f aca="false">IF($A167="","",INDEX(Profiles!$D$2:$D$100,MATCH($M167,Profiles!$A$2:$A$100,0)))</f>
        <v/>
      </c>
      <c r="O167" s="20" t="str">
        <f aca="false">IF($A167="","",INDEX(Profiles!$E$2:$E$100,MATCH($M167,Profiles!$A$2:$A$100,0)))</f>
        <v/>
      </c>
      <c r="P167" s="21" t="str">
        <f aca="false">IF($L167&lt;&gt;"Planned","",$K167*$D167*$N167*(1+$O167))</f>
        <v/>
      </c>
      <c r="Q167" s="21" t="str">
        <f aca="false">IF($L167&lt;&gt;"Planned","",$K167*$D167)</f>
        <v/>
      </c>
      <c r="R167" s="21" t="str">
        <f aca="false">IF($L167&lt;&gt;"Planned","",MAX(N($E167),$K167*$D167*$N167,$K167*N($G167)))</f>
        <v/>
      </c>
      <c r="S167" s="21" t="str">
        <f aca="false">IF($L167&lt;&gt;"Planned","",$P167)</f>
        <v/>
      </c>
      <c r="T167" s="21" t="str">
        <f aca="false">IF($L167&lt;&gt;"Planned","",$P167+$Q167)</f>
        <v/>
      </c>
      <c r="U167" s="21" t="str">
        <f aca="false">IF($L167&lt;&gt;"Planned","",$T167+$R167)</f>
        <v/>
      </c>
      <c r="V167" s="8" t="str">
        <f aca="false">IF($A167="","",SUMIFS('Open supply'!$C:$C,'Open supply'!$A:$A,$AF167))</f>
        <v/>
      </c>
      <c r="W167" s="8" t="str">
        <f aca="false">IF($A167="","",SUMIFS('Open supply'!$C:$C,'Open supply'!$A:$A,$AF167,'Open supply'!$B:$B,"&lt;"&amp;PlanDate))</f>
        <v/>
      </c>
      <c r="X167" s="8" t="str">
        <f aca="false">IF($A167="","",SUMIFS('Open demand'!$G:$G,'Open demand'!$A:$A,$AF167))</f>
        <v/>
      </c>
      <c r="Y167" s="8" t="str">
        <f aca="false">IF($L167&lt;&gt;"Planned","",N($H167)+$V167-$X167)</f>
        <v/>
      </c>
      <c r="Z167" s="19" t="str">
        <f aca="false">IF($L167&lt;&gt;"Planned","",IF($Y167&lt;=$S167,"Red",IF($Y167&lt;=$T167,"Yellow",IF($Y167&lt;=$U167,"Green","Above green"))))</f>
        <v/>
      </c>
      <c r="AA167" s="22" t="str">
        <f aca="false">IF(OR($L167&lt;&gt;"Planned",N($U167)&lt;=0),"",$Y167/$U167)</f>
        <v/>
      </c>
      <c r="AB167" s="8" t="str">
        <f aca="false">IF($L167&lt;&gt;"Planned","",IF($Y167&lt;=$T167,ROUNDUP(MAX($U167-$Y167,N($E167))/IF(N($F167)&gt;0,$F167,1)-0.000000001,0)*IF(N($F167)&gt;0,$F167,1),""))</f>
        <v/>
      </c>
      <c r="AC167" s="23" t="str">
        <f aca="false">IF(N($AB167)&gt;0,PlanDate+ROUNDUP($D167,0),"")</f>
        <v/>
      </c>
      <c r="AD167" s="19" t="str">
        <f aca="false">IF($L167&lt;&gt;"Planned","",IF(N($H167)&lt;=0,"Stockout",IF(N($H167)&lt;$S167*0.5,"Critical",IF(N($H167)&lt;=$S167,"Low",IF(N($H167)&gt;$U167,"Over top of green","OK")))))</f>
        <v/>
      </c>
      <c r="AE167" s="8" t="str">
        <f aca="false">IF($A167="","",$A167&amp;"")</f>
        <v/>
      </c>
      <c r="AF167" s="8" t="str">
        <f aca="false">IF($A167="","",SUBSTITUTE(SUBSTITUTE(SUBSTITUTE($A167&amp;"","~","~~"),"*","~*"),"?","~?"))</f>
        <v/>
      </c>
    </row>
    <row r="168" customFormat="false" ht="15" hidden="false" customHeight="false" outlineLevel="0" collapsed="false">
      <c r="A168" s="11"/>
      <c r="B168" s="11"/>
      <c r="C168" s="11"/>
      <c r="D168" s="16"/>
      <c r="E168" s="11"/>
      <c r="F168" s="11"/>
      <c r="G168" s="9"/>
      <c r="H168" s="11"/>
      <c r="I168" s="17"/>
      <c r="J168" s="18" t="str">
        <f aca="false">IF($A168="","",IF(COUNT(Usage!$C:$C)=0,"",MAX(0,SUMIFS(Usage!$C:$C,Usage!$A:$A,$AF168,Usage!$B:$B,"&gt;="&amp;(PlanDate-AduWindow),Usage!$B:$B,"&lt;"&amp;PlanDate))/AduWindow))</f>
        <v/>
      </c>
      <c r="K168" s="18" t="str">
        <f aca="false">IF($A168="","",IF(AND(ISNUMBER($I168),N($I168)&gt;=0),$I168,$J168))</f>
        <v/>
      </c>
      <c r="L168" s="19" t="str">
        <f aca="false">IF($A168="","",IF($K168="","Needs ADU",IF($K168&lt;=0,"No recent demand",IF(N($D168)&lt;=0,"Needs lead time","Planned"))))</f>
        <v/>
      </c>
      <c r="M168" s="8" t="str">
        <f aca="false">IF($A168="","",IF(ISNUMBER(MATCH($C168,Profiles!$A$2:$A$100,0)),$C168,DefaultProfile))</f>
        <v/>
      </c>
      <c r="N168" s="20" t="str">
        <f aca="false">IF($A168="","",INDEX(Profiles!$D$2:$D$100,MATCH($M168,Profiles!$A$2:$A$100,0)))</f>
        <v/>
      </c>
      <c r="O168" s="20" t="str">
        <f aca="false">IF($A168="","",INDEX(Profiles!$E$2:$E$100,MATCH($M168,Profiles!$A$2:$A$100,0)))</f>
        <v/>
      </c>
      <c r="P168" s="21" t="str">
        <f aca="false">IF($L168&lt;&gt;"Planned","",$K168*$D168*$N168*(1+$O168))</f>
        <v/>
      </c>
      <c r="Q168" s="21" t="str">
        <f aca="false">IF($L168&lt;&gt;"Planned","",$K168*$D168)</f>
        <v/>
      </c>
      <c r="R168" s="21" t="str">
        <f aca="false">IF($L168&lt;&gt;"Planned","",MAX(N($E168),$K168*$D168*$N168,$K168*N($G168)))</f>
        <v/>
      </c>
      <c r="S168" s="21" t="str">
        <f aca="false">IF($L168&lt;&gt;"Planned","",$P168)</f>
        <v/>
      </c>
      <c r="T168" s="21" t="str">
        <f aca="false">IF($L168&lt;&gt;"Planned","",$P168+$Q168)</f>
        <v/>
      </c>
      <c r="U168" s="21" t="str">
        <f aca="false">IF($L168&lt;&gt;"Planned","",$T168+$R168)</f>
        <v/>
      </c>
      <c r="V168" s="8" t="str">
        <f aca="false">IF($A168="","",SUMIFS('Open supply'!$C:$C,'Open supply'!$A:$A,$AF168))</f>
        <v/>
      </c>
      <c r="W168" s="8" t="str">
        <f aca="false">IF($A168="","",SUMIFS('Open supply'!$C:$C,'Open supply'!$A:$A,$AF168,'Open supply'!$B:$B,"&lt;"&amp;PlanDate))</f>
        <v/>
      </c>
      <c r="X168" s="8" t="str">
        <f aca="false">IF($A168="","",SUMIFS('Open demand'!$G:$G,'Open demand'!$A:$A,$AF168))</f>
        <v/>
      </c>
      <c r="Y168" s="8" t="str">
        <f aca="false">IF($L168&lt;&gt;"Planned","",N($H168)+$V168-$X168)</f>
        <v/>
      </c>
      <c r="Z168" s="19" t="str">
        <f aca="false">IF($L168&lt;&gt;"Planned","",IF($Y168&lt;=$S168,"Red",IF($Y168&lt;=$T168,"Yellow",IF($Y168&lt;=$U168,"Green","Above green"))))</f>
        <v/>
      </c>
      <c r="AA168" s="22" t="str">
        <f aca="false">IF(OR($L168&lt;&gt;"Planned",N($U168)&lt;=0),"",$Y168/$U168)</f>
        <v/>
      </c>
      <c r="AB168" s="8" t="str">
        <f aca="false">IF($L168&lt;&gt;"Planned","",IF($Y168&lt;=$T168,ROUNDUP(MAX($U168-$Y168,N($E168))/IF(N($F168)&gt;0,$F168,1)-0.000000001,0)*IF(N($F168)&gt;0,$F168,1),""))</f>
        <v/>
      </c>
      <c r="AC168" s="23" t="str">
        <f aca="false">IF(N($AB168)&gt;0,PlanDate+ROUNDUP($D168,0),"")</f>
        <v/>
      </c>
      <c r="AD168" s="19" t="str">
        <f aca="false">IF($L168&lt;&gt;"Planned","",IF(N($H168)&lt;=0,"Stockout",IF(N($H168)&lt;$S168*0.5,"Critical",IF(N($H168)&lt;=$S168,"Low",IF(N($H168)&gt;$U168,"Over top of green","OK")))))</f>
        <v/>
      </c>
      <c r="AE168" s="8" t="str">
        <f aca="false">IF($A168="","",$A168&amp;"")</f>
        <v/>
      </c>
      <c r="AF168" s="8" t="str">
        <f aca="false">IF($A168="","",SUBSTITUTE(SUBSTITUTE(SUBSTITUTE($A168&amp;"","~","~~"),"*","~*"),"?","~?"))</f>
        <v/>
      </c>
    </row>
    <row r="169" customFormat="false" ht="15" hidden="false" customHeight="false" outlineLevel="0" collapsed="false">
      <c r="A169" s="11"/>
      <c r="B169" s="11"/>
      <c r="C169" s="11"/>
      <c r="D169" s="16"/>
      <c r="E169" s="11"/>
      <c r="F169" s="11"/>
      <c r="G169" s="9"/>
      <c r="H169" s="11"/>
      <c r="I169" s="17"/>
      <c r="J169" s="18" t="str">
        <f aca="false">IF($A169="","",IF(COUNT(Usage!$C:$C)=0,"",MAX(0,SUMIFS(Usage!$C:$C,Usage!$A:$A,$AF169,Usage!$B:$B,"&gt;="&amp;(PlanDate-AduWindow),Usage!$B:$B,"&lt;"&amp;PlanDate))/AduWindow))</f>
        <v/>
      </c>
      <c r="K169" s="18" t="str">
        <f aca="false">IF($A169="","",IF(AND(ISNUMBER($I169),N($I169)&gt;=0),$I169,$J169))</f>
        <v/>
      </c>
      <c r="L169" s="19" t="str">
        <f aca="false">IF($A169="","",IF($K169="","Needs ADU",IF($K169&lt;=0,"No recent demand",IF(N($D169)&lt;=0,"Needs lead time","Planned"))))</f>
        <v/>
      </c>
      <c r="M169" s="8" t="str">
        <f aca="false">IF($A169="","",IF(ISNUMBER(MATCH($C169,Profiles!$A$2:$A$100,0)),$C169,DefaultProfile))</f>
        <v/>
      </c>
      <c r="N169" s="20" t="str">
        <f aca="false">IF($A169="","",INDEX(Profiles!$D$2:$D$100,MATCH($M169,Profiles!$A$2:$A$100,0)))</f>
        <v/>
      </c>
      <c r="O169" s="20" t="str">
        <f aca="false">IF($A169="","",INDEX(Profiles!$E$2:$E$100,MATCH($M169,Profiles!$A$2:$A$100,0)))</f>
        <v/>
      </c>
      <c r="P169" s="21" t="str">
        <f aca="false">IF($L169&lt;&gt;"Planned","",$K169*$D169*$N169*(1+$O169))</f>
        <v/>
      </c>
      <c r="Q169" s="21" t="str">
        <f aca="false">IF($L169&lt;&gt;"Planned","",$K169*$D169)</f>
        <v/>
      </c>
      <c r="R169" s="21" t="str">
        <f aca="false">IF($L169&lt;&gt;"Planned","",MAX(N($E169),$K169*$D169*$N169,$K169*N($G169)))</f>
        <v/>
      </c>
      <c r="S169" s="21" t="str">
        <f aca="false">IF($L169&lt;&gt;"Planned","",$P169)</f>
        <v/>
      </c>
      <c r="T169" s="21" t="str">
        <f aca="false">IF($L169&lt;&gt;"Planned","",$P169+$Q169)</f>
        <v/>
      </c>
      <c r="U169" s="21" t="str">
        <f aca="false">IF($L169&lt;&gt;"Planned","",$T169+$R169)</f>
        <v/>
      </c>
      <c r="V169" s="8" t="str">
        <f aca="false">IF($A169="","",SUMIFS('Open supply'!$C:$C,'Open supply'!$A:$A,$AF169))</f>
        <v/>
      </c>
      <c r="W169" s="8" t="str">
        <f aca="false">IF($A169="","",SUMIFS('Open supply'!$C:$C,'Open supply'!$A:$A,$AF169,'Open supply'!$B:$B,"&lt;"&amp;PlanDate))</f>
        <v/>
      </c>
      <c r="X169" s="8" t="str">
        <f aca="false">IF($A169="","",SUMIFS('Open demand'!$G:$G,'Open demand'!$A:$A,$AF169))</f>
        <v/>
      </c>
      <c r="Y169" s="8" t="str">
        <f aca="false">IF($L169&lt;&gt;"Planned","",N($H169)+$V169-$X169)</f>
        <v/>
      </c>
      <c r="Z169" s="19" t="str">
        <f aca="false">IF($L169&lt;&gt;"Planned","",IF($Y169&lt;=$S169,"Red",IF($Y169&lt;=$T169,"Yellow",IF($Y169&lt;=$U169,"Green","Above green"))))</f>
        <v/>
      </c>
      <c r="AA169" s="22" t="str">
        <f aca="false">IF(OR($L169&lt;&gt;"Planned",N($U169)&lt;=0),"",$Y169/$U169)</f>
        <v/>
      </c>
      <c r="AB169" s="8" t="str">
        <f aca="false">IF($L169&lt;&gt;"Planned","",IF($Y169&lt;=$T169,ROUNDUP(MAX($U169-$Y169,N($E169))/IF(N($F169)&gt;0,$F169,1)-0.000000001,0)*IF(N($F169)&gt;0,$F169,1),""))</f>
        <v/>
      </c>
      <c r="AC169" s="23" t="str">
        <f aca="false">IF(N($AB169)&gt;0,PlanDate+ROUNDUP($D169,0),"")</f>
        <v/>
      </c>
      <c r="AD169" s="19" t="str">
        <f aca="false">IF($L169&lt;&gt;"Planned","",IF(N($H169)&lt;=0,"Stockout",IF(N($H169)&lt;$S169*0.5,"Critical",IF(N($H169)&lt;=$S169,"Low",IF(N($H169)&gt;$U169,"Over top of green","OK")))))</f>
        <v/>
      </c>
      <c r="AE169" s="8" t="str">
        <f aca="false">IF($A169="","",$A169&amp;"")</f>
        <v/>
      </c>
      <c r="AF169" s="8" t="str">
        <f aca="false">IF($A169="","",SUBSTITUTE(SUBSTITUTE(SUBSTITUTE($A169&amp;"","~","~~"),"*","~*"),"?","~?"))</f>
        <v/>
      </c>
    </row>
    <row r="170" customFormat="false" ht="15" hidden="false" customHeight="false" outlineLevel="0" collapsed="false">
      <c r="A170" s="11"/>
      <c r="B170" s="11"/>
      <c r="C170" s="11"/>
      <c r="D170" s="16"/>
      <c r="E170" s="11"/>
      <c r="F170" s="11"/>
      <c r="G170" s="9"/>
      <c r="H170" s="11"/>
      <c r="I170" s="17"/>
      <c r="J170" s="18" t="str">
        <f aca="false">IF($A170="","",IF(COUNT(Usage!$C:$C)=0,"",MAX(0,SUMIFS(Usage!$C:$C,Usage!$A:$A,$AF170,Usage!$B:$B,"&gt;="&amp;(PlanDate-AduWindow),Usage!$B:$B,"&lt;"&amp;PlanDate))/AduWindow))</f>
        <v/>
      </c>
      <c r="K170" s="18" t="str">
        <f aca="false">IF($A170="","",IF(AND(ISNUMBER($I170),N($I170)&gt;=0),$I170,$J170))</f>
        <v/>
      </c>
      <c r="L170" s="19" t="str">
        <f aca="false">IF($A170="","",IF($K170="","Needs ADU",IF($K170&lt;=0,"No recent demand",IF(N($D170)&lt;=0,"Needs lead time","Planned"))))</f>
        <v/>
      </c>
      <c r="M170" s="8" t="str">
        <f aca="false">IF($A170="","",IF(ISNUMBER(MATCH($C170,Profiles!$A$2:$A$100,0)),$C170,DefaultProfile))</f>
        <v/>
      </c>
      <c r="N170" s="20" t="str">
        <f aca="false">IF($A170="","",INDEX(Profiles!$D$2:$D$100,MATCH($M170,Profiles!$A$2:$A$100,0)))</f>
        <v/>
      </c>
      <c r="O170" s="20" t="str">
        <f aca="false">IF($A170="","",INDEX(Profiles!$E$2:$E$100,MATCH($M170,Profiles!$A$2:$A$100,0)))</f>
        <v/>
      </c>
      <c r="P170" s="21" t="str">
        <f aca="false">IF($L170&lt;&gt;"Planned","",$K170*$D170*$N170*(1+$O170))</f>
        <v/>
      </c>
      <c r="Q170" s="21" t="str">
        <f aca="false">IF($L170&lt;&gt;"Planned","",$K170*$D170)</f>
        <v/>
      </c>
      <c r="R170" s="21" t="str">
        <f aca="false">IF($L170&lt;&gt;"Planned","",MAX(N($E170),$K170*$D170*$N170,$K170*N($G170)))</f>
        <v/>
      </c>
      <c r="S170" s="21" t="str">
        <f aca="false">IF($L170&lt;&gt;"Planned","",$P170)</f>
        <v/>
      </c>
      <c r="T170" s="21" t="str">
        <f aca="false">IF($L170&lt;&gt;"Planned","",$P170+$Q170)</f>
        <v/>
      </c>
      <c r="U170" s="21" t="str">
        <f aca="false">IF($L170&lt;&gt;"Planned","",$T170+$R170)</f>
        <v/>
      </c>
      <c r="V170" s="8" t="str">
        <f aca="false">IF($A170="","",SUMIFS('Open supply'!$C:$C,'Open supply'!$A:$A,$AF170))</f>
        <v/>
      </c>
      <c r="W170" s="8" t="str">
        <f aca="false">IF($A170="","",SUMIFS('Open supply'!$C:$C,'Open supply'!$A:$A,$AF170,'Open supply'!$B:$B,"&lt;"&amp;PlanDate))</f>
        <v/>
      </c>
      <c r="X170" s="8" t="str">
        <f aca="false">IF($A170="","",SUMIFS('Open demand'!$G:$G,'Open demand'!$A:$A,$AF170))</f>
        <v/>
      </c>
      <c r="Y170" s="8" t="str">
        <f aca="false">IF($L170&lt;&gt;"Planned","",N($H170)+$V170-$X170)</f>
        <v/>
      </c>
      <c r="Z170" s="19" t="str">
        <f aca="false">IF($L170&lt;&gt;"Planned","",IF($Y170&lt;=$S170,"Red",IF($Y170&lt;=$T170,"Yellow",IF($Y170&lt;=$U170,"Green","Above green"))))</f>
        <v/>
      </c>
      <c r="AA170" s="22" t="str">
        <f aca="false">IF(OR($L170&lt;&gt;"Planned",N($U170)&lt;=0),"",$Y170/$U170)</f>
        <v/>
      </c>
      <c r="AB170" s="8" t="str">
        <f aca="false">IF($L170&lt;&gt;"Planned","",IF($Y170&lt;=$T170,ROUNDUP(MAX($U170-$Y170,N($E170))/IF(N($F170)&gt;0,$F170,1)-0.000000001,0)*IF(N($F170)&gt;0,$F170,1),""))</f>
        <v/>
      </c>
      <c r="AC170" s="23" t="str">
        <f aca="false">IF(N($AB170)&gt;0,PlanDate+ROUNDUP($D170,0),"")</f>
        <v/>
      </c>
      <c r="AD170" s="19" t="str">
        <f aca="false">IF($L170&lt;&gt;"Planned","",IF(N($H170)&lt;=0,"Stockout",IF(N($H170)&lt;$S170*0.5,"Critical",IF(N($H170)&lt;=$S170,"Low",IF(N($H170)&gt;$U170,"Over top of green","OK")))))</f>
        <v/>
      </c>
      <c r="AE170" s="8" t="str">
        <f aca="false">IF($A170="","",$A170&amp;"")</f>
        <v/>
      </c>
      <c r="AF170" s="8" t="str">
        <f aca="false">IF($A170="","",SUBSTITUTE(SUBSTITUTE(SUBSTITUTE($A170&amp;"","~","~~"),"*","~*"),"?","~?"))</f>
        <v/>
      </c>
    </row>
    <row r="171" customFormat="false" ht="15" hidden="false" customHeight="false" outlineLevel="0" collapsed="false">
      <c r="A171" s="11"/>
      <c r="B171" s="11"/>
      <c r="C171" s="11"/>
      <c r="D171" s="16"/>
      <c r="E171" s="11"/>
      <c r="F171" s="11"/>
      <c r="G171" s="9"/>
      <c r="H171" s="11"/>
      <c r="I171" s="17"/>
      <c r="J171" s="18" t="str">
        <f aca="false">IF($A171="","",IF(COUNT(Usage!$C:$C)=0,"",MAX(0,SUMIFS(Usage!$C:$C,Usage!$A:$A,$AF171,Usage!$B:$B,"&gt;="&amp;(PlanDate-AduWindow),Usage!$B:$B,"&lt;"&amp;PlanDate))/AduWindow))</f>
        <v/>
      </c>
      <c r="K171" s="18" t="str">
        <f aca="false">IF($A171="","",IF(AND(ISNUMBER($I171),N($I171)&gt;=0),$I171,$J171))</f>
        <v/>
      </c>
      <c r="L171" s="19" t="str">
        <f aca="false">IF($A171="","",IF($K171="","Needs ADU",IF($K171&lt;=0,"No recent demand",IF(N($D171)&lt;=0,"Needs lead time","Planned"))))</f>
        <v/>
      </c>
      <c r="M171" s="8" t="str">
        <f aca="false">IF($A171="","",IF(ISNUMBER(MATCH($C171,Profiles!$A$2:$A$100,0)),$C171,DefaultProfile))</f>
        <v/>
      </c>
      <c r="N171" s="20" t="str">
        <f aca="false">IF($A171="","",INDEX(Profiles!$D$2:$D$100,MATCH($M171,Profiles!$A$2:$A$100,0)))</f>
        <v/>
      </c>
      <c r="O171" s="20" t="str">
        <f aca="false">IF($A171="","",INDEX(Profiles!$E$2:$E$100,MATCH($M171,Profiles!$A$2:$A$100,0)))</f>
        <v/>
      </c>
      <c r="P171" s="21" t="str">
        <f aca="false">IF($L171&lt;&gt;"Planned","",$K171*$D171*$N171*(1+$O171))</f>
        <v/>
      </c>
      <c r="Q171" s="21" t="str">
        <f aca="false">IF($L171&lt;&gt;"Planned","",$K171*$D171)</f>
        <v/>
      </c>
      <c r="R171" s="21" t="str">
        <f aca="false">IF($L171&lt;&gt;"Planned","",MAX(N($E171),$K171*$D171*$N171,$K171*N($G171)))</f>
        <v/>
      </c>
      <c r="S171" s="21" t="str">
        <f aca="false">IF($L171&lt;&gt;"Planned","",$P171)</f>
        <v/>
      </c>
      <c r="T171" s="21" t="str">
        <f aca="false">IF($L171&lt;&gt;"Planned","",$P171+$Q171)</f>
        <v/>
      </c>
      <c r="U171" s="21" t="str">
        <f aca="false">IF($L171&lt;&gt;"Planned","",$T171+$R171)</f>
        <v/>
      </c>
      <c r="V171" s="8" t="str">
        <f aca="false">IF($A171="","",SUMIFS('Open supply'!$C:$C,'Open supply'!$A:$A,$AF171))</f>
        <v/>
      </c>
      <c r="W171" s="8" t="str">
        <f aca="false">IF($A171="","",SUMIFS('Open supply'!$C:$C,'Open supply'!$A:$A,$AF171,'Open supply'!$B:$B,"&lt;"&amp;PlanDate))</f>
        <v/>
      </c>
      <c r="X171" s="8" t="str">
        <f aca="false">IF($A171="","",SUMIFS('Open demand'!$G:$G,'Open demand'!$A:$A,$AF171))</f>
        <v/>
      </c>
      <c r="Y171" s="8" t="str">
        <f aca="false">IF($L171&lt;&gt;"Planned","",N($H171)+$V171-$X171)</f>
        <v/>
      </c>
      <c r="Z171" s="19" t="str">
        <f aca="false">IF($L171&lt;&gt;"Planned","",IF($Y171&lt;=$S171,"Red",IF($Y171&lt;=$T171,"Yellow",IF($Y171&lt;=$U171,"Green","Above green"))))</f>
        <v/>
      </c>
      <c r="AA171" s="22" t="str">
        <f aca="false">IF(OR($L171&lt;&gt;"Planned",N($U171)&lt;=0),"",$Y171/$U171)</f>
        <v/>
      </c>
      <c r="AB171" s="8" t="str">
        <f aca="false">IF($L171&lt;&gt;"Planned","",IF($Y171&lt;=$T171,ROUNDUP(MAX($U171-$Y171,N($E171))/IF(N($F171)&gt;0,$F171,1)-0.000000001,0)*IF(N($F171)&gt;0,$F171,1),""))</f>
        <v/>
      </c>
      <c r="AC171" s="23" t="str">
        <f aca="false">IF(N($AB171)&gt;0,PlanDate+ROUNDUP($D171,0),"")</f>
        <v/>
      </c>
      <c r="AD171" s="19" t="str">
        <f aca="false">IF($L171&lt;&gt;"Planned","",IF(N($H171)&lt;=0,"Stockout",IF(N($H171)&lt;$S171*0.5,"Critical",IF(N($H171)&lt;=$S171,"Low",IF(N($H171)&gt;$U171,"Over top of green","OK")))))</f>
        <v/>
      </c>
      <c r="AE171" s="8" t="str">
        <f aca="false">IF($A171="","",$A171&amp;"")</f>
        <v/>
      </c>
      <c r="AF171" s="8" t="str">
        <f aca="false">IF($A171="","",SUBSTITUTE(SUBSTITUTE(SUBSTITUTE($A171&amp;"","~","~~"),"*","~*"),"?","~?"))</f>
        <v/>
      </c>
    </row>
    <row r="172" customFormat="false" ht="15" hidden="false" customHeight="false" outlineLevel="0" collapsed="false">
      <c r="A172" s="11"/>
      <c r="B172" s="11"/>
      <c r="C172" s="11"/>
      <c r="D172" s="16"/>
      <c r="E172" s="11"/>
      <c r="F172" s="11"/>
      <c r="G172" s="9"/>
      <c r="H172" s="11"/>
      <c r="I172" s="17"/>
      <c r="J172" s="18" t="str">
        <f aca="false">IF($A172="","",IF(COUNT(Usage!$C:$C)=0,"",MAX(0,SUMIFS(Usage!$C:$C,Usage!$A:$A,$AF172,Usage!$B:$B,"&gt;="&amp;(PlanDate-AduWindow),Usage!$B:$B,"&lt;"&amp;PlanDate))/AduWindow))</f>
        <v/>
      </c>
      <c r="K172" s="18" t="str">
        <f aca="false">IF($A172="","",IF(AND(ISNUMBER($I172),N($I172)&gt;=0),$I172,$J172))</f>
        <v/>
      </c>
      <c r="L172" s="19" t="str">
        <f aca="false">IF($A172="","",IF($K172="","Needs ADU",IF($K172&lt;=0,"No recent demand",IF(N($D172)&lt;=0,"Needs lead time","Planned"))))</f>
        <v/>
      </c>
      <c r="M172" s="8" t="str">
        <f aca="false">IF($A172="","",IF(ISNUMBER(MATCH($C172,Profiles!$A$2:$A$100,0)),$C172,DefaultProfile))</f>
        <v/>
      </c>
      <c r="N172" s="20" t="str">
        <f aca="false">IF($A172="","",INDEX(Profiles!$D$2:$D$100,MATCH($M172,Profiles!$A$2:$A$100,0)))</f>
        <v/>
      </c>
      <c r="O172" s="20" t="str">
        <f aca="false">IF($A172="","",INDEX(Profiles!$E$2:$E$100,MATCH($M172,Profiles!$A$2:$A$100,0)))</f>
        <v/>
      </c>
      <c r="P172" s="21" t="str">
        <f aca="false">IF($L172&lt;&gt;"Planned","",$K172*$D172*$N172*(1+$O172))</f>
        <v/>
      </c>
      <c r="Q172" s="21" t="str">
        <f aca="false">IF($L172&lt;&gt;"Planned","",$K172*$D172)</f>
        <v/>
      </c>
      <c r="R172" s="21" t="str">
        <f aca="false">IF($L172&lt;&gt;"Planned","",MAX(N($E172),$K172*$D172*$N172,$K172*N($G172)))</f>
        <v/>
      </c>
      <c r="S172" s="21" t="str">
        <f aca="false">IF($L172&lt;&gt;"Planned","",$P172)</f>
        <v/>
      </c>
      <c r="T172" s="21" t="str">
        <f aca="false">IF($L172&lt;&gt;"Planned","",$P172+$Q172)</f>
        <v/>
      </c>
      <c r="U172" s="21" t="str">
        <f aca="false">IF($L172&lt;&gt;"Planned","",$T172+$R172)</f>
        <v/>
      </c>
      <c r="V172" s="8" t="str">
        <f aca="false">IF($A172="","",SUMIFS('Open supply'!$C:$C,'Open supply'!$A:$A,$AF172))</f>
        <v/>
      </c>
      <c r="W172" s="8" t="str">
        <f aca="false">IF($A172="","",SUMIFS('Open supply'!$C:$C,'Open supply'!$A:$A,$AF172,'Open supply'!$B:$B,"&lt;"&amp;PlanDate))</f>
        <v/>
      </c>
      <c r="X172" s="8" t="str">
        <f aca="false">IF($A172="","",SUMIFS('Open demand'!$G:$G,'Open demand'!$A:$A,$AF172))</f>
        <v/>
      </c>
      <c r="Y172" s="8" t="str">
        <f aca="false">IF($L172&lt;&gt;"Planned","",N($H172)+$V172-$X172)</f>
        <v/>
      </c>
      <c r="Z172" s="19" t="str">
        <f aca="false">IF($L172&lt;&gt;"Planned","",IF($Y172&lt;=$S172,"Red",IF($Y172&lt;=$T172,"Yellow",IF($Y172&lt;=$U172,"Green","Above green"))))</f>
        <v/>
      </c>
      <c r="AA172" s="22" t="str">
        <f aca="false">IF(OR($L172&lt;&gt;"Planned",N($U172)&lt;=0),"",$Y172/$U172)</f>
        <v/>
      </c>
      <c r="AB172" s="8" t="str">
        <f aca="false">IF($L172&lt;&gt;"Planned","",IF($Y172&lt;=$T172,ROUNDUP(MAX($U172-$Y172,N($E172))/IF(N($F172)&gt;0,$F172,1)-0.000000001,0)*IF(N($F172)&gt;0,$F172,1),""))</f>
        <v/>
      </c>
      <c r="AC172" s="23" t="str">
        <f aca="false">IF(N($AB172)&gt;0,PlanDate+ROUNDUP($D172,0),"")</f>
        <v/>
      </c>
      <c r="AD172" s="19" t="str">
        <f aca="false">IF($L172&lt;&gt;"Planned","",IF(N($H172)&lt;=0,"Stockout",IF(N($H172)&lt;$S172*0.5,"Critical",IF(N($H172)&lt;=$S172,"Low",IF(N($H172)&gt;$U172,"Over top of green","OK")))))</f>
        <v/>
      </c>
      <c r="AE172" s="8" t="str">
        <f aca="false">IF($A172="","",$A172&amp;"")</f>
        <v/>
      </c>
      <c r="AF172" s="8" t="str">
        <f aca="false">IF($A172="","",SUBSTITUTE(SUBSTITUTE(SUBSTITUTE($A172&amp;"","~","~~"),"*","~*"),"?","~?"))</f>
        <v/>
      </c>
    </row>
    <row r="173" customFormat="false" ht="15" hidden="false" customHeight="false" outlineLevel="0" collapsed="false">
      <c r="A173" s="11"/>
      <c r="B173" s="11"/>
      <c r="C173" s="11"/>
      <c r="D173" s="16"/>
      <c r="E173" s="11"/>
      <c r="F173" s="11"/>
      <c r="G173" s="9"/>
      <c r="H173" s="11"/>
      <c r="I173" s="17"/>
      <c r="J173" s="18" t="str">
        <f aca="false">IF($A173="","",IF(COUNT(Usage!$C:$C)=0,"",MAX(0,SUMIFS(Usage!$C:$C,Usage!$A:$A,$AF173,Usage!$B:$B,"&gt;="&amp;(PlanDate-AduWindow),Usage!$B:$B,"&lt;"&amp;PlanDate))/AduWindow))</f>
        <v/>
      </c>
      <c r="K173" s="18" t="str">
        <f aca="false">IF($A173="","",IF(AND(ISNUMBER($I173),N($I173)&gt;=0),$I173,$J173))</f>
        <v/>
      </c>
      <c r="L173" s="19" t="str">
        <f aca="false">IF($A173="","",IF($K173="","Needs ADU",IF($K173&lt;=0,"No recent demand",IF(N($D173)&lt;=0,"Needs lead time","Planned"))))</f>
        <v/>
      </c>
      <c r="M173" s="8" t="str">
        <f aca="false">IF($A173="","",IF(ISNUMBER(MATCH($C173,Profiles!$A$2:$A$100,0)),$C173,DefaultProfile))</f>
        <v/>
      </c>
      <c r="N173" s="20" t="str">
        <f aca="false">IF($A173="","",INDEX(Profiles!$D$2:$D$100,MATCH($M173,Profiles!$A$2:$A$100,0)))</f>
        <v/>
      </c>
      <c r="O173" s="20" t="str">
        <f aca="false">IF($A173="","",INDEX(Profiles!$E$2:$E$100,MATCH($M173,Profiles!$A$2:$A$100,0)))</f>
        <v/>
      </c>
      <c r="P173" s="21" t="str">
        <f aca="false">IF($L173&lt;&gt;"Planned","",$K173*$D173*$N173*(1+$O173))</f>
        <v/>
      </c>
      <c r="Q173" s="21" t="str">
        <f aca="false">IF($L173&lt;&gt;"Planned","",$K173*$D173)</f>
        <v/>
      </c>
      <c r="R173" s="21" t="str">
        <f aca="false">IF($L173&lt;&gt;"Planned","",MAX(N($E173),$K173*$D173*$N173,$K173*N($G173)))</f>
        <v/>
      </c>
      <c r="S173" s="21" t="str">
        <f aca="false">IF($L173&lt;&gt;"Planned","",$P173)</f>
        <v/>
      </c>
      <c r="T173" s="21" t="str">
        <f aca="false">IF($L173&lt;&gt;"Planned","",$P173+$Q173)</f>
        <v/>
      </c>
      <c r="U173" s="21" t="str">
        <f aca="false">IF($L173&lt;&gt;"Planned","",$T173+$R173)</f>
        <v/>
      </c>
      <c r="V173" s="8" t="str">
        <f aca="false">IF($A173="","",SUMIFS('Open supply'!$C:$C,'Open supply'!$A:$A,$AF173))</f>
        <v/>
      </c>
      <c r="W173" s="8" t="str">
        <f aca="false">IF($A173="","",SUMIFS('Open supply'!$C:$C,'Open supply'!$A:$A,$AF173,'Open supply'!$B:$B,"&lt;"&amp;PlanDate))</f>
        <v/>
      </c>
      <c r="X173" s="8" t="str">
        <f aca="false">IF($A173="","",SUMIFS('Open demand'!$G:$G,'Open demand'!$A:$A,$AF173))</f>
        <v/>
      </c>
      <c r="Y173" s="8" t="str">
        <f aca="false">IF($L173&lt;&gt;"Planned","",N($H173)+$V173-$X173)</f>
        <v/>
      </c>
      <c r="Z173" s="19" t="str">
        <f aca="false">IF($L173&lt;&gt;"Planned","",IF($Y173&lt;=$S173,"Red",IF($Y173&lt;=$T173,"Yellow",IF($Y173&lt;=$U173,"Green","Above green"))))</f>
        <v/>
      </c>
      <c r="AA173" s="22" t="str">
        <f aca="false">IF(OR($L173&lt;&gt;"Planned",N($U173)&lt;=0),"",$Y173/$U173)</f>
        <v/>
      </c>
      <c r="AB173" s="8" t="str">
        <f aca="false">IF($L173&lt;&gt;"Planned","",IF($Y173&lt;=$T173,ROUNDUP(MAX($U173-$Y173,N($E173))/IF(N($F173)&gt;0,$F173,1)-0.000000001,0)*IF(N($F173)&gt;0,$F173,1),""))</f>
        <v/>
      </c>
      <c r="AC173" s="23" t="str">
        <f aca="false">IF(N($AB173)&gt;0,PlanDate+ROUNDUP($D173,0),"")</f>
        <v/>
      </c>
      <c r="AD173" s="19" t="str">
        <f aca="false">IF($L173&lt;&gt;"Planned","",IF(N($H173)&lt;=0,"Stockout",IF(N($H173)&lt;$S173*0.5,"Critical",IF(N($H173)&lt;=$S173,"Low",IF(N($H173)&gt;$U173,"Over top of green","OK")))))</f>
        <v/>
      </c>
      <c r="AE173" s="8" t="str">
        <f aca="false">IF($A173="","",$A173&amp;"")</f>
        <v/>
      </c>
      <c r="AF173" s="8" t="str">
        <f aca="false">IF($A173="","",SUBSTITUTE(SUBSTITUTE(SUBSTITUTE($A173&amp;"","~","~~"),"*","~*"),"?","~?"))</f>
        <v/>
      </c>
    </row>
    <row r="174" customFormat="false" ht="15" hidden="false" customHeight="false" outlineLevel="0" collapsed="false">
      <c r="A174" s="11"/>
      <c r="B174" s="11"/>
      <c r="C174" s="11"/>
      <c r="D174" s="16"/>
      <c r="E174" s="11"/>
      <c r="F174" s="11"/>
      <c r="G174" s="9"/>
      <c r="H174" s="11"/>
      <c r="I174" s="17"/>
      <c r="J174" s="18" t="str">
        <f aca="false">IF($A174="","",IF(COUNT(Usage!$C:$C)=0,"",MAX(0,SUMIFS(Usage!$C:$C,Usage!$A:$A,$AF174,Usage!$B:$B,"&gt;="&amp;(PlanDate-AduWindow),Usage!$B:$B,"&lt;"&amp;PlanDate))/AduWindow))</f>
        <v/>
      </c>
      <c r="K174" s="18" t="str">
        <f aca="false">IF($A174="","",IF(AND(ISNUMBER($I174),N($I174)&gt;=0),$I174,$J174))</f>
        <v/>
      </c>
      <c r="L174" s="19" t="str">
        <f aca="false">IF($A174="","",IF($K174="","Needs ADU",IF($K174&lt;=0,"No recent demand",IF(N($D174)&lt;=0,"Needs lead time","Planned"))))</f>
        <v/>
      </c>
      <c r="M174" s="8" t="str">
        <f aca="false">IF($A174="","",IF(ISNUMBER(MATCH($C174,Profiles!$A$2:$A$100,0)),$C174,DefaultProfile))</f>
        <v/>
      </c>
      <c r="N174" s="20" t="str">
        <f aca="false">IF($A174="","",INDEX(Profiles!$D$2:$D$100,MATCH($M174,Profiles!$A$2:$A$100,0)))</f>
        <v/>
      </c>
      <c r="O174" s="20" t="str">
        <f aca="false">IF($A174="","",INDEX(Profiles!$E$2:$E$100,MATCH($M174,Profiles!$A$2:$A$100,0)))</f>
        <v/>
      </c>
      <c r="P174" s="21" t="str">
        <f aca="false">IF($L174&lt;&gt;"Planned","",$K174*$D174*$N174*(1+$O174))</f>
        <v/>
      </c>
      <c r="Q174" s="21" t="str">
        <f aca="false">IF($L174&lt;&gt;"Planned","",$K174*$D174)</f>
        <v/>
      </c>
      <c r="R174" s="21" t="str">
        <f aca="false">IF($L174&lt;&gt;"Planned","",MAX(N($E174),$K174*$D174*$N174,$K174*N($G174)))</f>
        <v/>
      </c>
      <c r="S174" s="21" t="str">
        <f aca="false">IF($L174&lt;&gt;"Planned","",$P174)</f>
        <v/>
      </c>
      <c r="T174" s="21" t="str">
        <f aca="false">IF($L174&lt;&gt;"Planned","",$P174+$Q174)</f>
        <v/>
      </c>
      <c r="U174" s="21" t="str">
        <f aca="false">IF($L174&lt;&gt;"Planned","",$T174+$R174)</f>
        <v/>
      </c>
      <c r="V174" s="8" t="str">
        <f aca="false">IF($A174="","",SUMIFS('Open supply'!$C:$C,'Open supply'!$A:$A,$AF174))</f>
        <v/>
      </c>
      <c r="W174" s="8" t="str">
        <f aca="false">IF($A174="","",SUMIFS('Open supply'!$C:$C,'Open supply'!$A:$A,$AF174,'Open supply'!$B:$B,"&lt;"&amp;PlanDate))</f>
        <v/>
      </c>
      <c r="X174" s="8" t="str">
        <f aca="false">IF($A174="","",SUMIFS('Open demand'!$G:$G,'Open demand'!$A:$A,$AF174))</f>
        <v/>
      </c>
      <c r="Y174" s="8" t="str">
        <f aca="false">IF($L174&lt;&gt;"Planned","",N($H174)+$V174-$X174)</f>
        <v/>
      </c>
      <c r="Z174" s="19" t="str">
        <f aca="false">IF($L174&lt;&gt;"Planned","",IF($Y174&lt;=$S174,"Red",IF($Y174&lt;=$T174,"Yellow",IF($Y174&lt;=$U174,"Green","Above green"))))</f>
        <v/>
      </c>
      <c r="AA174" s="22" t="str">
        <f aca="false">IF(OR($L174&lt;&gt;"Planned",N($U174)&lt;=0),"",$Y174/$U174)</f>
        <v/>
      </c>
      <c r="AB174" s="8" t="str">
        <f aca="false">IF($L174&lt;&gt;"Planned","",IF($Y174&lt;=$T174,ROUNDUP(MAX($U174-$Y174,N($E174))/IF(N($F174)&gt;0,$F174,1)-0.000000001,0)*IF(N($F174)&gt;0,$F174,1),""))</f>
        <v/>
      </c>
      <c r="AC174" s="23" t="str">
        <f aca="false">IF(N($AB174)&gt;0,PlanDate+ROUNDUP($D174,0),"")</f>
        <v/>
      </c>
      <c r="AD174" s="19" t="str">
        <f aca="false">IF($L174&lt;&gt;"Planned","",IF(N($H174)&lt;=0,"Stockout",IF(N($H174)&lt;$S174*0.5,"Critical",IF(N($H174)&lt;=$S174,"Low",IF(N($H174)&gt;$U174,"Over top of green","OK")))))</f>
        <v/>
      </c>
      <c r="AE174" s="8" t="str">
        <f aca="false">IF($A174="","",$A174&amp;"")</f>
        <v/>
      </c>
      <c r="AF174" s="8" t="str">
        <f aca="false">IF($A174="","",SUBSTITUTE(SUBSTITUTE(SUBSTITUTE($A174&amp;"","~","~~"),"*","~*"),"?","~?"))</f>
        <v/>
      </c>
    </row>
    <row r="175" customFormat="false" ht="15" hidden="false" customHeight="false" outlineLevel="0" collapsed="false">
      <c r="A175" s="11"/>
      <c r="B175" s="11"/>
      <c r="C175" s="11"/>
      <c r="D175" s="16"/>
      <c r="E175" s="11"/>
      <c r="F175" s="11"/>
      <c r="G175" s="9"/>
      <c r="H175" s="11"/>
      <c r="I175" s="17"/>
      <c r="J175" s="18" t="str">
        <f aca="false">IF($A175="","",IF(COUNT(Usage!$C:$C)=0,"",MAX(0,SUMIFS(Usage!$C:$C,Usage!$A:$A,$AF175,Usage!$B:$B,"&gt;="&amp;(PlanDate-AduWindow),Usage!$B:$B,"&lt;"&amp;PlanDate))/AduWindow))</f>
        <v/>
      </c>
      <c r="K175" s="18" t="str">
        <f aca="false">IF($A175="","",IF(AND(ISNUMBER($I175),N($I175)&gt;=0),$I175,$J175))</f>
        <v/>
      </c>
      <c r="L175" s="19" t="str">
        <f aca="false">IF($A175="","",IF($K175="","Needs ADU",IF($K175&lt;=0,"No recent demand",IF(N($D175)&lt;=0,"Needs lead time","Planned"))))</f>
        <v/>
      </c>
      <c r="M175" s="8" t="str">
        <f aca="false">IF($A175="","",IF(ISNUMBER(MATCH($C175,Profiles!$A$2:$A$100,0)),$C175,DefaultProfile))</f>
        <v/>
      </c>
      <c r="N175" s="20" t="str">
        <f aca="false">IF($A175="","",INDEX(Profiles!$D$2:$D$100,MATCH($M175,Profiles!$A$2:$A$100,0)))</f>
        <v/>
      </c>
      <c r="O175" s="20" t="str">
        <f aca="false">IF($A175="","",INDEX(Profiles!$E$2:$E$100,MATCH($M175,Profiles!$A$2:$A$100,0)))</f>
        <v/>
      </c>
      <c r="P175" s="21" t="str">
        <f aca="false">IF($L175&lt;&gt;"Planned","",$K175*$D175*$N175*(1+$O175))</f>
        <v/>
      </c>
      <c r="Q175" s="21" t="str">
        <f aca="false">IF($L175&lt;&gt;"Planned","",$K175*$D175)</f>
        <v/>
      </c>
      <c r="R175" s="21" t="str">
        <f aca="false">IF($L175&lt;&gt;"Planned","",MAX(N($E175),$K175*$D175*$N175,$K175*N($G175)))</f>
        <v/>
      </c>
      <c r="S175" s="21" t="str">
        <f aca="false">IF($L175&lt;&gt;"Planned","",$P175)</f>
        <v/>
      </c>
      <c r="T175" s="21" t="str">
        <f aca="false">IF($L175&lt;&gt;"Planned","",$P175+$Q175)</f>
        <v/>
      </c>
      <c r="U175" s="21" t="str">
        <f aca="false">IF($L175&lt;&gt;"Planned","",$T175+$R175)</f>
        <v/>
      </c>
      <c r="V175" s="8" t="str">
        <f aca="false">IF($A175="","",SUMIFS('Open supply'!$C:$C,'Open supply'!$A:$A,$AF175))</f>
        <v/>
      </c>
      <c r="W175" s="8" t="str">
        <f aca="false">IF($A175="","",SUMIFS('Open supply'!$C:$C,'Open supply'!$A:$A,$AF175,'Open supply'!$B:$B,"&lt;"&amp;PlanDate))</f>
        <v/>
      </c>
      <c r="X175" s="8" t="str">
        <f aca="false">IF($A175="","",SUMIFS('Open demand'!$G:$G,'Open demand'!$A:$A,$AF175))</f>
        <v/>
      </c>
      <c r="Y175" s="8" t="str">
        <f aca="false">IF($L175&lt;&gt;"Planned","",N($H175)+$V175-$X175)</f>
        <v/>
      </c>
      <c r="Z175" s="19" t="str">
        <f aca="false">IF($L175&lt;&gt;"Planned","",IF($Y175&lt;=$S175,"Red",IF($Y175&lt;=$T175,"Yellow",IF($Y175&lt;=$U175,"Green","Above green"))))</f>
        <v/>
      </c>
      <c r="AA175" s="22" t="str">
        <f aca="false">IF(OR($L175&lt;&gt;"Planned",N($U175)&lt;=0),"",$Y175/$U175)</f>
        <v/>
      </c>
      <c r="AB175" s="8" t="str">
        <f aca="false">IF($L175&lt;&gt;"Planned","",IF($Y175&lt;=$T175,ROUNDUP(MAX($U175-$Y175,N($E175))/IF(N($F175)&gt;0,$F175,1)-0.000000001,0)*IF(N($F175)&gt;0,$F175,1),""))</f>
        <v/>
      </c>
      <c r="AC175" s="23" t="str">
        <f aca="false">IF(N($AB175)&gt;0,PlanDate+ROUNDUP($D175,0),"")</f>
        <v/>
      </c>
      <c r="AD175" s="19" t="str">
        <f aca="false">IF($L175&lt;&gt;"Planned","",IF(N($H175)&lt;=0,"Stockout",IF(N($H175)&lt;$S175*0.5,"Critical",IF(N($H175)&lt;=$S175,"Low",IF(N($H175)&gt;$U175,"Over top of green","OK")))))</f>
        <v/>
      </c>
      <c r="AE175" s="8" t="str">
        <f aca="false">IF($A175="","",$A175&amp;"")</f>
        <v/>
      </c>
      <c r="AF175" s="8" t="str">
        <f aca="false">IF($A175="","",SUBSTITUTE(SUBSTITUTE(SUBSTITUTE($A175&amp;"","~","~~"),"*","~*"),"?","~?"))</f>
        <v/>
      </c>
    </row>
    <row r="176" customFormat="false" ht="15" hidden="false" customHeight="false" outlineLevel="0" collapsed="false">
      <c r="A176" s="11"/>
      <c r="B176" s="11"/>
      <c r="C176" s="11"/>
      <c r="D176" s="16"/>
      <c r="E176" s="11"/>
      <c r="F176" s="11"/>
      <c r="G176" s="9"/>
      <c r="H176" s="11"/>
      <c r="I176" s="17"/>
      <c r="J176" s="18" t="str">
        <f aca="false">IF($A176="","",IF(COUNT(Usage!$C:$C)=0,"",MAX(0,SUMIFS(Usage!$C:$C,Usage!$A:$A,$AF176,Usage!$B:$B,"&gt;="&amp;(PlanDate-AduWindow),Usage!$B:$B,"&lt;"&amp;PlanDate))/AduWindow))</f>
        <v/>
      </c>
      <c r="K176" s="18" t="str">
        <f aca="false">IF($A176="","",IF(AND(ISNUMBER($I176),N($I176)&gt;=0),$I176,$J176))</f>
        <v/>
      </c>
      <c r="L176" s="19" t="str">
        <f aca="false">IF($A176="","",IF($K176="","Needs ADU",IF($K176&lt;=0,"No recent demand",IF(N($D176)&lt;=0,"Needs lead time","Planned"))))</f>
        <v/>
      </c>
      <c r="M176" s="8" t="str">
        <f aca="false">IF($A176="","",IF(ISNUMBER(MATCH($C176,Profiles!$A$2:$A$100,0)),$C176,DefaultProfile))</f>
        <v/>
      </c>
      <c r="N176" s="20" t="str">
        <f aca="false">IF($A176="","",INDEX(Profiles!$D$2:$D$100,MATCH($M176,Profiles!$A$2:$A$100,0)))</f>
        <v/>
      </c>
      <c r="O176" s="20" t="str">
        <f aca="false">IF($A176="","",INDEX(Profiles!$E$2:$E$100,MATCH($M176,Profiles!$A$2:$A$100,0)))</f>
        <v/>
      </c>
      <c r="P176" s="21" t="str">
        <f aca="false">IF($L176&lt;&gt;"Planned","",$K176*$D176*$N176*(1+$O176))</f>
        <v/>
      </c>
      <c r="Q176" s="21" t="str">
        <f aca="false">IF($L176&lt;&gt;"Planned","",$K176*$D176)</f>
        <v/>
      </c>
      <c r="R176" s="21" t="str">
        <f aca="false">IF($L176&lt;&gt;"Planned","",MAX(N($E176),$K176*$D176*$N176,$K176*N($G176)))</f>
        <v/>
      </c>
      <c r="S176" s="21" t="str">
        <f aca="false">IF($L176&lt;&gt;"Planned","",$P176)</f>
        <v/>
      </c>
      <c r="T176" s="21" t="str">
        <f aca="false">IF($L176&lt;&gt;"Planned","",$P176+$Q176)</f>
        <v/>
      </c>
      <c r="U176" s="21" t="str">
        <f aca="false">IF($L176&lt;&gt;"Planned","",$T176+$R176)</f>
        <v/>
      </c>
      <c r="V176" s="8" t="str">
        <f aca="false">IF($A176="","",SUMIFS('Open supply'!$C:$C,'Open supply'!$A:$A,$AF176))</f>
        <v/>
      </c>
      <c r="W176" s="8" t="str">
        <f aca="false">IF($A176="","",SUMIFS('Open supply'!$C:$C,'Open supply'!$A:$A,$AF176,'Open supply'!$B:$B,"&lt;"&amp;PlanDate))</f>
        <v/>
      </c>
      <c r="X176" s="8" t="str">
        <f aca="false">IF($A176="","",SUMIFS('Open demand'!$G:$G,'Open demand'!$A:$A,$AF176))</f>
        <v/>
      </c>
      <c r="Y176" s="8" t="str">
        <f aca="false">IF($L176&lt;&gt;"Planned","",N($H176)+$V176-$X176)</f>
        <v/>
      </c>
      <c r="Z176" s="19" t="str">
        <f aca="false">IF($L176&lt;&gt;"Planned","",IF($Y176&lt;=$S176,"Red",IF($Y176&lt;=$T176,"Yellow",IF($Y176&lt;=$U176,"Green","Above green"))))</f>
        <v/>
      </c>
      <c r="AA176" s="22" t="str">
        <f aca="false">IF(OR($L176&lt;&gt;"Planned",N($U176)&lt;=0),"",$Y176/$U176)</f>
        <v/>
      </c>
      <c r="AB176" s="8" t="str">
        <f aca="false">IF($L176&lt;&gt;"Planned","",IF($Y176&lt;=$T176,ROUNDUP(MAX($U176-$Y176,N($E176))/IF(N($F176)&gt;0,$F176,1)-0.000000001,0)*IF(N($F176)&gt;0,$F176,1),""))</f>
        <v/>
      </c>
      <c r="AC176" s="23" t="str">
        <f aca="false">IF(N($AB176)&gt;0,PlanDate+ROUNDUP($D176,0),"")</f>
        <v/>
      </c>
      <c r="AD176" s="19" t="str">
        <f aca="false">IF($L176&lt;&gt;"Planned","",IF(N($H176)&lt;=0,"Stockout",IF(N($H176)&lt;$S176*0.5,"Critical",IF(N($H176)&lt;=$S176,"Low",IF(N($H176)&gt;$U176,"Over top of green","OK")))))</f>
        <v/>
      </c>
      <c r="AE176" s="8" t="str">
        <f aca="false">IF($A176="","",$A176&amp;"")</f>
        <v/>
      </c>
      <c r="AF176" s="8" t="str">
        <f aca="false">IF($A176="","",SUBSTITUTE(SUBSTITUTE(SUBSTITUTE($A176&amp;"","~","~~"),"*","~*"),"?","~?"))</f>
        <v/>
      </c>
    </row>
    <row r="177" customFormat="false" ht="15" hidden="false" customHeight="false" outlineLevel="0" collapsed="false">
      <c r="A177" s="11"/>
      <c r="B177" s="11"/>
      <c r="C177" s="11"/>
      <c r="D177" s="16"/>
      <c r="E177" s="11"/>
      <c r="F177" s="11"/>
      <c r="G177" s="9"/>
      <c r="H177" s="11"/>
      <c r="I177" s="17"/>
      <c r="J177" s="18" t="str">
        <f aca="false">IF($A177="","",IF(COUNT(Usage!$C:$C)=0,"",MAX(0,SUMIFS(Usage!$C:$C,Usage!$A:$A,$AF177,Usage!$B:$B,"&gt;="&amp;(PlanDate-AduWindow),Usage!$B:$B,"&lt;"&amp;PlanDate))/AduWindow))</f>
        <v/>
      </c>
      <c r="K177" s="18" t="str">
        <f aca="false">IF($A177="","",IF(AND(ISNUMBER($I177),N($I177)&gt;=0),$I177,$J177))</f>
        <v/>
      </c>
      <c r="L177" s="19" t="str">
        <f aca="false">IF($A177="","",IF($K177="","Needs ADU",IF($K177&lt;=0,"No recent demand",IF(N($D177)&lt;=0,"Needs lead time","Planned"))))</f>
        <v/>
      </c>
      <c r="M177" s="8" t="str">
        <f aca="false">IF($A177="","",IF(ISNUMBER(MATCH($C177,Profiles!$A$2:$A$100,0)),$C177,DefaultProfile))</f>
        <v/>
      </c>
      <c r="N177" s="20" t="str">
        <f aca="false">IF($A177="","",INDEX(Profiles!$D$2:$D$100,MATCH($M177,Profiles!$A$2:$A$100,0)))</f>
        <v/>
      </c>
      <c r="O177" s="20" t="str">
        <f aca="false">IF($A177="","",INDEX(Profiles!$E$2:$E$100,MATCH($M177,Profiles!$A$2:$A$100,0)))</f>
        <v/>
      </c>
      <c r="P177" s="21" t="str">
        <f aca="false">IF($L177&lt;&gt;"Planned","",$K177*$D177*$N177*(1+$O177))</f>
        <v/>
      </c>
      <c r="Q177" s="21" t="str">
        <f aca="false">IF($L177&lt;&gt;"Planned","",$K177*$D177)</f>
        <v/>
      </c>
      <c r="R177" s="21" t="str">
        <f aca="false">IF($L177&lt;&gt;"Planned","",MAX(N($E177),$K177*$D177*$N177,$K177*N($G177)))</f>
        <v/>
      </c>
      <c r="S177" s="21" t="str">
        <f aca="false">IF($L177&lt;&gt;"Planned","",$P177)</f>
        <v/>
      </c>
      <c r="T177" s="21" t="str">
        <f aca="false">IF($L177&lt;&gt;"Planned","",$P177+$Q177)</f>
        <v/>
      </c>
      <c r="U177" s="21" t="str">
        <f aca="false">IF($L177&lt;&gt;"Planned","",$T177+$R177)</f>
        <v/>
      </c>
      <c r="V177" s="8" t="str">
        <f aca="false">IF($A177="","",SUMIFS('Open supply'!$C:$C,'Open supply'!$A:$A,$AF177))</f>
        <v/>
      </c>
      <c r="W177" s="8" t="str">
        <f aca="false">IF($A177="","",SUMIFS('Open supply'!$C:$C,'Open supply'!$A:$A,$AF177,'Open supply'!$B:$B,"&lt;"&amp;PlanDate))</f>
        <v/>
      </c>
      <c r="X177" s="8" t="str">
        <f aca="false">IF($A177="","",SUMIFS('Open demand'!$G:$G,'Open demand'!$A:$A,$AF177))</f>
        <v/>
      </c>
      <c r="Y177" s="8" t="str">
        <f aca="false">IF($L177&lt;&gt;"Planned","",N($H177)+$V177-$X177)</f>
        <v/>
      </c>
      <c r="Z177" s="19" t="str">
        <f aca="false">IF($L177&lt;&gt;"Planned","",IF($Y177&lt;=$S177,"Red",IF($Y177&lt;=$T177,"Yellow",IF($Y177&lt;=$U177,"Green","Above green"))))</f>
        <v/>
      </c>
      <c r="AA177" s="22" t="str">
        <f aca="false">IF(OR($L177&lt;&gt;"Planned",N($U177)&lt;=0),"",$Y177/$U177)</f>
        <v/>
      </c>
      <c r="AB177" s="8" t="str">
        <f aca="false">IF($L177&lt;&gt;"Planned","",IF($Y177&lt;=$T177,ROUNDUP(MAX($U177-$Y177,N($E177))/IF(N($F177)&gt;0,$F177,1)-0.000000001,0)*IF(N($F177)&gt;0,$F177,1),""))</f>
        <v/>
      </c>
      <c r="AC177" s="23" t="str">
        <f aca="false">IF(N($AB177)&gt;0,PlanDate+ROUNDUP($D177,0),"")</f>
        <v/>
      </c>
      <c r="AD177" s="19" t="str">
        <f aca="false">IF($L177&lt;&gt;"Planned","",IF(N($H177)&lt;=0,"Stockout",IF(N($H177)&lt;$S177*0.5,"Critical",IF(N($H177)&lt;=$S177,"Low",IF(N($H177)&gt;$U177,"Over top of green","OK")))))</f>
        <v/>
      </c>
      <c r="AE177" s="8" t="str">
        <f aca="false">IF($A177="","",$A177&amp;"")</f>
        <v/>
      </c>
      <c r="AF177" s="8" t="str">
        <f aca="false">IF($A177="","",SUBSTITUTE(SUBSTITUTE(SUBSTITUTE($A177&amp;"","~","~~"),"*","~*"),"?","~?"))</f>
        <v/>
      </c>
    </row>
    <row r="178" customFormat="false" ht="15" hidden="false" customHeight="false" outlineLevel="0" collapsed="false">
      <c r="A178" s="11"/>
      <c r="B178" s="11"/>
      <c r="C178" s="11"/>
      <c r="D178" s="16"/>
      <c r="E178" s="11"/>
      <c r="F178" s="11"/>
      <c r="G178" s="9"/>
      <c r="H178" s="11"/>
      <c r="I178" s="17"/>
      <c r="J178" s="18" t="str">
        <f aca="false">IF($A178="","",IF(COUNT(Usage!$C:$C)=0,"",MAX(0,SUMIFS(Usage!$C:$C,Usage!$A:$A,$AF178,Usage!$B:$B,"&gt;="&amp;(PlanDate-AduWindow),Usage!$B:$B,"&lt;"&amp;PlanDate))/AduWindow))</f>
        <v/>
      </c>
      <c r="K178" s="18" t="str">
        <f aca="false">IF($A178="","",IF(AND(ISNUMBER($I178),N($I178)&gt;=0),$I178,$J178))</f>
        <v/>
      </c>
      <c r="L178" s="19" t="str">
        <f aca="false">IF($A178="","",IF($K178="","Needs ADU",IF($K178&lt;=0,"No recent demand",IF(N($D178)&lt;=0,"Needs lead time","Planned"))))</f>
        <v/>
      </c>
      <c r="M178" s="8" t="str">
        <f aca="false">IF($A178="","",IF(ISNUMBER(MATCH($C178,Profiles!$A$2:$A$100,0)),$C178,DefaultProfile))</f>
        <v/>
      </c>
      <c r="N178" s="20" t="str">
        <f aca="false">IF($A178="","",INDEX(Profiles!$D$2:$D$100,MATCH($M178,Profiles!$A$2:$A$100,0)))</f>
        <v/>
      </c>
      <c r="O178" s="20" t="str">
        <f aca="false">IF($A178="","",INDEX(Profiles!$E$2:$E$100,MATCH($M178,Profiles!$A$2:$A$100,0)))</f>
        <v/>
      </c>
      <c r="P178" s="21" t="str">
        <f aca="false">IF($L178&lt;&gt;"Planned","",$K178*$D178*$N178*(1+$O178))</f>
        <v/>
      </c>
      <c r="Q178" s="21" t="str">
        <f aca="false">IF($L178&lt;&gt;"Planned","",$K178*$D178)</f>
        <v/>
      </c>
      <c r="R178" s="21" t="str">
        <f aca="false">IF($L178&lt;&gt;"Planned","",MAX(N($E178),$K178*$D178*$N178,$K178*N($G178)))</f>
        <v/>
      </c>
      <c r="S178" s="21" t="str">
        <f aca="false">IF($L178&lt;&gt;"Planned","",$P178)</f>
        <v/>
      </c>
      <c r="T178" s="21" t="str">
        <f aca="false">IF($L178&lt;&gt;"Planned","",$P178+$Q178)</f>
        <v/>
      </c>
      <c r="U178" s="21" t="str">
        <f aca="false">IF($L178&lt;&gt;"Planned","",$T178+$R178)</f>
        <v/>
      </c>
      <c r="V178" s="8" t="str">
        <f aca="false">IF($A178="","",SUMIFS('Open supply'!$C:$C,'Open supply'!$A:$A,$AF178))</f>
        <v/>
      </c>
      <c r="W178" s="8" t="str">
        <f aca="false">IF($A178="","",SUMIFS('Open supply'!$C:$C,'Open supply'!$A:$A,$AF178,'Open supply'!$B:$B,"&lt;"&amp;PlanDate))</f>
        <v/>
      </c>
      <c r="X178" s="8" t="str">
        <f aca="false">IF($A178="","",SUMIFS('Open demand'!$G:$G,'Open demand'!$A:$A,$AF178))</f>
        <v/>
      </c>
      <c r="Y178" s="8" t="str">
        <f aca="false">IF($L178&lt;&gt;"Planned","",N($H178)+$V178-$X178)</f>
        <v/>
      </c>
      <c r="Z178" s="19" t="str">
        <f aca="false">IF($L178&lt;&gt;"Planned","",IF($Y178&lt;=$S178,"Red",IF($Y178&lt;=$T178,"Yellow",IF($Y178&lt;=$U178,"Green","Above green"))))</f>
        <v/>
      </c>
      <c r="AA178" s="22" t="str">
        <f aca="false">IF(OR($L178&lt;&gt;"Planned",N($U178)&lt;=0),"",$Y178/$U178)</f>
        <v/>
      </c>
      <c r="AB178" s="8" t="str">
        <f aca="false">IF($L178&lt;&gt;"Planned","",IF($Y178&lt;=$T178,ROUNDUP(MAX($U178-$Y178,N($E178))/IF(N($F178)&gt;0,$F178,1)-0.000000001,0)*IF(N($F178)&gt;0,$F178,1),""))</f>
        <v/>
      </c>
      <c r="AC178" s="23" t="str">
        <f aca="false">IF(N($AB178)&gt;0,PlanDate+ROUNDUP($D178,0),"")</f>
        <v/>
      </c>
      <c r="AD178" s="19" t="str">
        <f aca="false">IF($L178&lt;&gt;"Planned","",IF(N($H178)&lt;=0,"Stockout",IF(N($H178)&lt;$S178*0.5,"Critical",IF(N($H178)&lt;=$S178,"Low",IF(N($H178)&gt;$U178,"Over top of green","OK")))))</f>
        <v/>
      </c>
      <c r="AE178" s="8" t="str">
        <f aca="false">IF($A178="","",$A178&amp;"")</f>
        <v/>
      </c>
      <c r="AF178" s="8" t="str">
        <f aca="false">IF($A178="","",SUBSTITUTE(SUBSTITUTE(SUBSTITUTE($A178&amp;"","~","~~"),"*","~*"),"?","~?"))</f>
        <v/>
      </c>
    </row>
    <row r="179" customFormat="false" ht="15" hidden="false" customHeight="false" outlineLevel="0" collapsed="false">
      <c r="A179" s="11"/>
      <c r="B179" s="11"/>
      <c r="C179" s="11"/>
      <c r="D179" s="16"/>
      <c r="E179" s="11"/>
      <c r="F179" s="11"/>
      <c r="G179" s="9"/>
      <c r="H179" s="11"/>
      <c r="I179" s="17"/>
      <c r="J179" s="18" t="str">
        <f aca="false">IF($A179="","",IF(COUNT(Usage!$C:$C)=0,"",MAX(0,SUMIFS(Usage!$C:$C,Usage!$A:$A,$AF179,Usage!$B:$B,"&gt;="&amp;(PlanDate-AduWindow),Usage!$B:$B,"&lt;"&amp;PlanDate))/AduWindow))</f>
        <v/>
      </c>
      <c r="K179" s="18" t="str">
        <f aca="false">IF($A179="","",IF(AND(ISNUMBER($I179),N($I179)&gt;=0),$I179,$J179))</f>
        <v/>
      </c>
      <c r="L179" s="19" t="str">
        <f aca="false">IF($A179="","",IF($K179="","Needs ADU",IF($K179&lt;=0,"No recent demand",IF(N($D179)&lt;=0,"Needs lead time","Planned"))))</f>
        <v/>
      </c>
      <c r="M179" s="8" t="str">
        <f aca="false">IF($A179="","",IF(ISNUMBER(MATCH($C179,Profiles!$A$2:$A$100,0)),$C179,DefaultProfile))</f>
        <v/>
      </c>
      <c r="N179" s="20" t="str">
        <f aca="false">IF($A179="","",INDEX(Profiles!$D$2:$D$100,MATCH($M179,Profiles!$A$2:$A$100,0)))</f>
        <v/>
      </c>
      <c r="O179" s="20" t="str">
        <f aca="false">IF($A179="","",INDEX(Profiles!$E$2:$E$100,MATCH($M179,Profiles!$A$2:$A$100,0)))</f>
        <v/>
      </c>
      <c r="P179" s="21" t="str">
        <f aca="false">IF($L179&lt;&gt;"Planned","",$K179*$D179*$N179*(1+$O179))</f>
        <v/>
      </c>
      <c r="Q179" s="21" t="str">
        <f aca="false">IF($L179&lt;&gt;"Planned","",$K179*$D179)</f>
        <v/>
      </c>
      <c r="R179" s="21" t="str">
        <f aca="false">IF($L179&lt;&gt;"Planned","",MAX(N($E179),$K179*$D179*$N179,$K179*N($G179)))</f>
        <v/>
      </c>
      <c r="S179" s="21" t="str">
        <f aca="false">IF($L179&lt;&gt;"Planned","",$P179)</f>
        <v/>
      </c>
      <c r="T179" s="21" t="str">
        <f aca="false">IF($L179&lt;&gt;"Planned","",$P179+$Q179)</f>
        <v/>
      </c>
      <c r="U179" s="21" t="str">
        <f aca="false">IF($L179&lt;&gt;"Planned","",$T179+$R179)</f>
        <v/>
      </c>
      <c r="V179" s="8" t="str">
        <f aca="false">IF($A179="","",SUMIFS('Open supply'!$C:$C,'Open supply'!$A:$A,$AF179))</f>
        <v/>
      </c>
      <c r="W179" s="8" t="str">
        <f aca="false">IF($A179="","",SUMIFS('Open supply'!$C:$C,'Open supply'!$A:$A,$AF179,'Open supply'!$B:$B,"&lt;"&amp;PlanDate))</f>
        <v/>
      </c>
      <c r="X179" s="8" t="str">
        <f aca="false">IF($A179="","",SUMIFS('Open demand'!$G:$G,'Open demand'!$A:$A,$AF179))</f>
        <v/>
      </c>
      <c r="Y179" s="8" t="str">
        <f aca="false">IF($L179&lt;&gt;"Planned","",N($H179)+$V179-$X179)</f>
        <v/>
      </c>
      <c r="Z179" s="19" t="str">
        <f aca="false">IF($L179&lt;&gt;"Planned","",IF($Y179&lt;=$S179,"Red",IF($Y179&lt;=$T179,"Yellow",IF($Y179&lt;=$U179,"Green","Above green"))))</f>
        <v/>
      </c>
      <c r="AA179" s="22" t="str">
        <f aca="false">IF(OR($L179&lt;&gt;"Planned",N($U179)&lt;=0),"",$Y179/$U179)</f>
        <v/>
      </c>
      <c r="AB179" s="8" t="str">
        <f aca="false">IF($L179&lt;&gt;"Planned","",IF($Y179&lt;=$T179,ROUNDUP(MAX($U179-$Y179,N($E179))/IF(N($F179)&gt;0,$F179,1)-0.000000001,0)*IF(N($F179)&gt;0,$F179,1),""))</f>
        <v/>
      </c>
      <c r="AC179" s="23" t="str">
        <f aca="false">IF(N($AB179)&gt;0,PlanDate+ROUNDUP($D179,0),"")</f>
        <v/>
      </c>
      <c r="AD179" s="19" t="str">
        <f aca="false">IF($L179&lt;&gt;"Planned","",IF(N($H179)&lt;=0,"Stockout",IF(N($H179)&lt;$S179*0.5,"Critical",IF(N($H179)&lt;=$S179,"Low",IF(N($H179)&gt;$U179,"Over top of green","OK")))))</f>
        <v/>
      </c>
      <c r="AE179" s="8" t="str">
        <f aca="false">IF($A179="","",$A179&amp;"")</f>
        <v/>
      </c>
      <c r="AF179" s="8" t="str">
        <f aca="false">IF($A179="","",SUBSTITUTE(SUBSTITUTE(SUBSTITUTE($A179&amp;"","~","~~"),"*","~*"),"?","~?"))</f>
        <v/>
      </c>
    </row>
    <row r="180" customFormat="false" ht="15" hidden="false" customHeight="false" outlineLevel="0" collapsed="false">
      <c r="A180" s="11"/>
      <c r="B180" s="11"/>
      <c r="C180" s="11"/>
      <c r="D180" s="16"/>
      <c r="E180" s="11"/>
      <c r="F180" s="11"/>
      <c r="G180" s="9"/>
      <c r="H180" s="11"/>
      <c r="I180" s="17"/>
      <c r="J180" s="18" t="str">
        <f aca="false">IF($A180="","",IF(COUNT(Usage!$C:$C)=0,"",MAX(0,SUMIFS(Usage!$C:$C,Usage!$A:$A,$AF180,Usage!$B:$B,"&gt;="&amp;(PlanDate-AduWindow),Usage!$B:$B,"&lt;"&amp;PlanDate))/AduWindow))</f>
        <v/>
      </c>
      <c r="K180" s="18" t="str">
        <f aca="false">IF($A180="","",IF(AND(ISNUMBER($I180),N($I180)&gt;=0),$I180,$J180))</f>
        <v/>
      </c>
      <c r="L180" s="19" t="str">
        <f aca="false">IF($A180="","",IF($K180="","Needs ADU",IF($K180&lt;=0,"No recent demand",IF(N($D180)&lt;=0,"Needs lead time","Planned"))))</f>
        <v/>
      </c>
      <c r="M180" s="8" t="str">
        <f aca="false">IF($A180="","",IF(ISNUMBER(MATCH($C180,Profiles!$A$2:$A$100,0)),$C180,DefaultProfile))</f>
        <v/>
      </c>
      <c r="N180" s="20" t="str">
        <f aca="false">IF($A180="","",INDEX(Profiles!$D$2:$D$100,MATCH($M180,Profiles!$A$2:$A$100,0)))</f>
        <v/>
      </c>
      <c r="O180" s="20" t="str">
        <f aca="false">IF($A180="","",INDEX(Profiles!$E$2:$E$100,MATCH($M180,Profiles!$A$2:$A$100,0)))</f>
        <v/>
      </c>
      <c r="P180" s="21" t="str">
        <f aca="false">IF($L180&lt;&gt;"Planned","",$K180*$D180*$N180*(1+$O180))</f>
        <v/>
      </c>
      <c r="Q180" s="21" t="str">
        <f aca="false">IF($L180&lt;&gt;"Planned","",$K180*$D180)</f>
        <v/>
      </c>
      <c r="R180" s="21" t="str">
        <f aca="false">IF($L180&lt;&gt;"Planned","",MAX(N($E180),$K180*$D180*$N180,$K180*N($G180)))</f>
        <v/>
      </c>
      <c r="S180" s="21" t="str">
        <f aca="false">IF($L180&lt;&gt;"Planned","",$P180)</f>
        <v/>
      </c>
      <c r="T180" s="21" t="str">
        <f aca="false">IF($L180&lt;&gt;"Planned","",$P180+$Q180)</f>
        <v/>
      </c>
      <c r="U180" s="21" t="str">
        <f aca="false">IF($L180&lt;&gt;"Planned","",$T180+$R180)</f>
        <v/>
      </c>
      <c r="V180" s="8" t="str">
        <f aca="false">IF($A180="","",SUMIFS('Open supply'!$C:$C,'Open supply'!$A:$A,$AF180))</f>
        <v/>
      </c>
      <c r="W180" s="8" t="str">
        <f aca="false">IF($A180="","",SUMIFS('Open supply'!$C:$C,'Open supply'!$A:$A,$AF180,'Open supply'!$B:$B,"&lt;"&amp;PlanDate))</f>
        <v/>
      </c>
      <c r="X180" s="8" t="str">
        <f aca="false">IF($A180="","",SUMIFS('Open demand'!$G:$G,'Open demand'!$A:$A,$AF180))</f>
        <v/>
      </c>
      <c r="Y180" s="8" t="str">
        <f aca="false">IF($L180&lt;&gt;"Planned","",N($H180)+$V180-$X180)</f>
        <v/>
      </c>
      <c r="Z180" s="19" t="str">
        <f aca="false">IF($L180&lt;&gt;"Planned","",IF($Y180&lt;=$S180,"Red",IF($Y180&lt;=$T180,"Yellow",IF($Y180&lt;=$U180,"Green","Above green"))))</f>
        <v/>
      </c>
      <c r="AA180" s="22" t="str">
        <f aca="false">IF(OR($L180&lt;&gt;"Planned",N($U180)&lt;=0),"",$Y180/$U180)</f>
        <v/>
      </c>
      <c r="AB180" s="8" t="str">
        <f aca="false">IF($L180&lt;&gt;"Planned","",IF($Y180&lt;=$T180,ROUNDUP(MAX($U180-$Y180,N($E180))/IF(N($F180)&gt;0,$F180,1)-0.000000001,0)*IF(N($F180)&gt;0,$F180,1),""))</f>
        <v/>
      </c>
      <c r="AC180" s="23" t="str">
        <f aca="false">IF(N($AB180)&gt;0,PlanDate+ROUNDUP($D180,0),"")</f>
        <v/>
      </c>
      <c r="AD180" s="19" t="str">
        <f aca="false">IF($L180&lt;&gt;"Planned","",IF(N($H180)&lt;=0,"Stockout",IF(N($H180)&lt;$S180*0.5,"Critical",IF(N($H180)&lt;=$S180,"Low",IF(N($H180)&gt;$U180,"Over top of green","OK")))))</f>
        <v/>
      </c>
      <c r="AE180" s="8" t="str">
        <f aca="false">IF($A180="","",$A180&amp;"")</f>
        <v/>
      </c>
      <c r="AF180" s="8" t="str">
        <f aca="false">IF($A180="","",SUBSTITUTE(SUBSTITUTE(SUBSTITUTE($A180&amp;"","~","~~"),"*","~*"),"?","~?"))</f>
        <v/>
      </c>
    </row>
    <row r="181" customFormat="false" ht="15" hidden="false" customHeight="false" outlineLevel="0" collapsed="false">
      <c r="A181" s="11"/>
      <c r="B181" s="11"/>
      <c r="C181" s="11"/>
      <c r="D181" s="16"/>
      <c r="E181" s="11"/>
      <c r="F181" s="11"/>
      <c r="G181" s="9"/>
      <c r="H181" s="11"/>
      <c r="I181" s="17"/>
      <c r="J181" s="18" t="str">
        <f aca="false">IF($A181="","",IF(COUNT(Usage!$C:$C)=0,"",MAX(0,SUMIFS(Usage!$C:$C,Usage!$A:$A,$AF181,Usage!$B:$B,"&gt;="&amp;(PlanDate-AduWindow),Usage!$B:$B,"&lt;"&amp;PlanDate))/AduWindow))</f>
        <v/>
      </c>
      <c r="K181" s="18" t="str">
        <f aca="false">IF($A181="","",IF(AND(ISNUMBER($I181),N($I181)&gt;=0),$I181,$J181))</f>
        <v/>
      </c>
      <c r="L181" s="19" t="str">
        <f aca="false">IF($A181="","",IF($K181="","Needs ADU",IF($K181&lt;=0,"No recent demand",IF(N($D181)&lt;=0,"Needs lead time","Planned"))))</f>
        <v/>
      </c>
      <c r="M181" s="8" t="str">
        <f aca="false">IF($A181="","",IF(ISNUMBER(MATCH($C181,Profiles!$A$2:$A$100,0)),$C181,DefaultProfile))</f>
        <v/>
      </c>
      <c r="N181" s="20" t="str">
        <f aca="false">IF($A181="","",INDEX(Profiles!$D$2:$D$100,MATCH($M181,Profiles!$A$2:$A$100,0)))</f>
        <v/>
      </c>
      <c r="O181" s="20" t="str">
        <f aca="false">IF($A181="","",INDEX(Profiles!$E$2:$E$100,MATCH($M181,Profiles!$A$2:$A$100,0)))</f>
        <v/>
      </c>
      <c r="P181" s="21" t="str">
        <f aca="false">IF($L181&lt;&gt;"Planned","",$K181*$D181*$N181*(1+$O181))</f>
        <v/>
      </c>
      <c r="Q181" s="21" t="str">
        <f aca="false">IF($L181&lt;&gt;"Planned","",$K181*$D181)</f>
        <v/>
      </c>
      <c r="R181" s="21" t="str">
        <f aca="false">IF($L181&lt;&gt;"Planned","",MAX(N($E181),$K181*$D181*$N181,$K181*N($G181)))</f>
        <v/>
      </c>
      <c r="S181" s="21" t="str">
        <f aca="false">IF($L181&lt;&gt;"Planned","",$P181)</f>
        <v/>
      </c>
      <c r="T181" s="21" t="str">
        <f aca="false">IF($L181&lt;&gt;"Planned","",$P181+$Q181)</f>
        <v/>
      </c>
      <c r="U181" s="21" t="str">
        <f aca="false">IF($L181&lt;&gt;"Planned","",$T181+$R181)</f>
        <v/>
      </c>
      <c r="V181" s="8" t="str">
        <f aca="false">IF($A181="","",SUMIFS('Open supply'!$C:$C,'Open supply'!$A:$A,$AF181))</f>
        <v/>
      </c>
      <c r="W181" s="8" t="str">
        <f aca="false">IF($A181="","",SUMIFS('Open supply'!$C:$C,'Open supply'!$A:$A,$AF181,'Open supply'!$B:$B,"&lt;"&amp;PlanDate))</f>
        <v/>
      </c>
      <c r="X181" s="8" t="str">
        <f aca="false">IF($A181="","",SUMIFS('Open demand'!$G:$G,'Open demand'!$A:$A,$AF181))</f>
        <v/>
      </c>
      <c r="Y181" s="8" t="str">
        <f aca="false">IF($L181&lt;&gt;"Planned","",N($H181)+$V181-$X181)</f>
        <v/>
      </c>
      <c r="Z181" s="19" t="str">
        <f aca="false">IF($L181&lt;&gt;"Planned","",IF($Y181&lt;=$S181,"Red",IF($Y181&lt;=$T181,"Yellow",IF($Y181&lt;=$U181,"Green","Above green"))))</f>
        <v/>
      </c>
      <c r="AA181" s="22" t="str">
        <f aca="false">IF(OR($L181&lt;&gt;"Planned",N($U181)&lt;=0),"",$Y181/$U181)</f>
        <v/>
      </c>
      <c r="AB181" s="8" t="str">
        <f aca="false">IF($L181&lt;&gt;"Planned","",IF($Y181&lt;=$T181,ROUNDUP(MAX($U181-$Y181,N($E181))/IF(N($F181)&gt;0,$F181,1)-0.000000001,0)*IF(N($F181)&gt;0,$F181,1),""))</f>
        <v/>
      </c>
      <c r="AC181" s="23" t="str">
        <f aca="false">IF(N($AB181)&gt;0,PlanDate+ROUNDUP($D181,0),"")</f>
        <v/>
      </c>
      <c r="AD181" s="19" t="str">
        <f aca="false">IF($L181&lt;&gt;"Planned","",IF(N($H181)&lt;=0,"Stockout",IF(N($H181)&lt;$S181*0.5,"Critical",IF(N($H181)&lt;=$S181,"Low",IF(N($H181)&gt;$U181,"Over top of green","OK")))))</f>
        <v/>
      </c>
      <c r="AE181" s="8" t="str">
        <f aca="false">IF($A181="","",$A181&amp;"")</f>
        <v/>
      </c>
      <c r="AF181" s="8" t="str">
        <f aca="false">IF($A181="","",SUBSTITUTE(SUBSTITUTE(SUBSTITUTE($A181&amp;"","~","~~"),"*","~*"),"?","~?"))</f>
        <v/>
      </c>
    </row>
    <row r="182" customFormat="false" ht="15" hidden="false" customHeight="false" outlineLevel="0" collapsed="false">
      <c r="A182" s="11"/>
      <c r="B182" s="11"/>
      <c r="C182" s="11"/>
      <c r="D182" s="16"/>
      <c r="E182" s="11"/>
      <c r="F182" s="11"/>
      <c r="G182" s="9"/>
      <c r="H182" s="11"/>
      <c r="I182" s="17"/>
      <c r="J182" s="18" t="str">
        <f aca="false">IF($A182="","",IF(COUNT(Usage!$C:$C)=0,"",MAX(0,SUMIFS(Usage!$C:$C,Usage!$A:$A,$AF182,Usage!$B:$B,"&gt;="&amp;(PlanDate-AduWindow),Usage!$B:$B,"&lt;"&amp;PlanDate))/AduWindow))</f>
        <v/>
      </c>
      <c r="K182" s="18" t="str">
        <f aca="false">IF($A182="","",IF(AND(ISNUMBER($I182),N($I182)&gt;=0),$I182,$J182))</f>
        <v/>
      </c>
      <c r="L182" s="19" t="str">
        <f aca="false">IF($A182="","",IF($K182="","Needs ADU",IF($K182&lt;=0,"No recent demand",IF(N($D182)&lt;=0,"Needs lead time","Planned"))))</f>
        <v/>
      </c>
      <c r="M182" s="8" t="str">
        <f aca="false">IF($A182="","",IF(ISNUMBER(MATCH($C182,Profiles!$A$2:$A$100,0)),$C182,DefaultProfile))</f>
        <v/>
      </c>
      <c r="N182" s="20" t="str">
        <f aca="false">IF($A182="","",INDEX(Profiles!$D$2:$D$100,MATCH($M182,Profiles!$A$2:$A$100,0)))</f>
        <v/>
      </c>
      <c r="O182" s="20" t="str">
        <f aca="false">IF($A182="","",INDEX(Profiles!$E$2:$E$100,MATCH($M182,Profiles!$A$2:$A$100,0)))</f>
        <v/>
      </c>
      <c r="P182" s="21" t="str">
        <f aca="false">IF($L182&lt;&gt;"Planned","",$K182*$D182*$N182*(1+$O182))</f>
        <v/>
      </c>
      <c r="Q182" s="21" t="str">
        <f aca="false">IF($L182&lt;&gt;"Planned","",$K182*$D182)</f>
        <v/>
      </c>
      <c r="R182" s="21" t="str">
        <f aca="false">IF($L182&lt;&gt;"Planned","",MAX(N($E182),$K182*$D182*$N182,$K182*N($G182)))</f>
        <v/>
      </c>
      <c r="S182" s="21" t="str">
        <f aca="false">IF($L182&lt;&gt;"Planned","",$P182)</f>
        <v/>
      </c>
      <c r="T182" s="21" t="str">
        <f aca="false">IF($L182&lt;&gt;"Planned","",$P182+$Q182)</f>
        <v/>
      </c>
      <c r="U182" s="21" t="str">
        <f aca="false">IF($L182&lt;&gt;"Planned","",$T182+$R182)</f>
        <v/>
      </c>
      <c r="V182" s="8" t="str">
        <f aca="false">IF($A182="","",SUMIFS('Open supply'!$C:$C,'Open supply'!$A:$A,$AF182))</f>
        <v/>
      </c>
      <c r="W182" s="8" t="str">
        <f aca="false">IF($A182="","",SUMIFS('Open supply'!$C:$C,'Open supply'!$A:$A,$AF182,'Open supply'!$B:$B,"&lt;"&amp;PlanDate))</f>
        <v/>
      </c>
      <c r="X182" s="8" t="str">
        <f aca="false">IF($A182="","",SUMIFS('Open demand'!$G:$G,'Open demand'!$A:$A,$AF182))</f>
        <v/>
      </c>
      <c r="Y182" s="8" t="str">
        <f aca="false">IF($L182&lt;&gt;"Planned","",N($H182)+$V182-$X182)</f>
        <v/>
      </c>
      <c r="Z182" s="19" t="str">
        <f aca="false">IF($L182&lt;&gt;"Planned","",IF($Y182&lt;=$S182,"Red",IF($Y182&lt;=$T182,"Yellow",IF($Y182&lt;=$U182,"Green","Above green"))))</f>
        <v/>
      </c>
      <c r="AA182" s="22" t="str">
        <f aca="false">IF(OR($L182&lt;&gt;"Planned",N($U182)&lt;=0),"",$Y182/$U182)</f>
        <v/>
      </c>
      <c r="AB182" s="8" t="str">
        <f aca="false">IF($L182&lt;&gt;"Planned","",IF($Y182&lt;=$T182,ROUNDUP(MAX($U182-$Y182,N($E182))/IF(N($F182)&gt;0,$F182,1)-0.000000001,0)*IF(N($F182)&gt;0,$F182,1),""))</f>
        <v/>
      </c>
      <c r="AC182" s="23" t="str">
        <f aca="false">IF(N($AB182)&gt;0,PlanDate+ROUNDUP($D182,0),"")</f>
        <v/>
      </c>
      <c r="AD182" s="19" t="str">
        <f aca="false">IF($L182&lt;&gt;"Planned","",IF(N($H182)&lt;=0,"Stockout",IF(N($H182)&lt;$S182*0.5,"Critical",IF(N($H182)&lt;=$S182,"Low",IF(N($H182)&gt;$U182,"Over top of green","OK")))))</f>
        <v/>
      </c>
      <c r="AE182" s="8" t="str">
        <f aca="false">IF($A182="","",$A182&amp;"")</f>
        <v/>
      </c>
      <c r="AF182" s="8" t="str">
        <f aca="false">IF($A182="","",SUBSTITUTE(SUBSTITUTE(SUBSTITUTE($A182&amp;"","~","~~"),"*","~*"),"?","~?"))</f>
        <v/>
      </c>
    </row>
    <row r="183" customFormat="false" ht="15" hidden="false" customHeight="false" outlineLevel="0" collapsed="false">
      <c r="A183" s="11"/>
      <c r="B183" s="11"/>
      <c r="C183" s="11"/>
      <c r="D183" s="16"/>
      <c r="E183" s="11"/>
      <c r="F183" s="11"/>
      <c r="G183" s="9"/>
      <c r="H183" s="11"/>
      <c r="I183" s="17"/>
      <c r="J183" s="18" t="str">
        <f aca="false">IF($A183="","",IF(COUNT(Usage!$C:$C)=0,"",MAX(0,SUMIFS(Usage!$C:$C,Usage!$A:$A,$AF183,Usage!$B:$B,"&gt;="&amp;(PlanDate-AduWindow),Usage!$B:$B,"&lt;"&amp;PlanDate))/AduWindow))</f>
        <v/>
      </c>
      <c r="K183" s="18" t="str">
        <f aca="false">IF($A183="","",IF(AND(ISNUMBER($I183),N($I183)&gt;=0),$I183,$J183))</f>
        <v/>
      </c>
      <c r="L183" s="19" t="str">
        <f aca="false">IF($A183="","",IF($K183="","Needs ADU",IF($K183&lt;=0,"No recent demand",IF(N($D183)&lt;=0,"Needs lead time","Planned"))))</f>
        <v/>
      </c>
      <c r="M183" s="8" t="str">
        <f aca="false">IF($A183="","",IF(ISNUMBER(MATCH($C183,Profiles!$A$2:$A$100,0)),$C183,DefaultProfile))</f>
        <v/>
      </c>
      <c r="N183" s="20" t="str">
        <f aca="false">IF($A183="","",INDEX(Profiles!$D$2:$D$100,MATCH($M183,Profiles!$A$2:$A$100,0)))</f>
        <v/>
      </c>
      <c r="O183" s="20" t="str">
        <f aca="false">IF($A183="","",INDEX(Profiles!$E$2:$E$100,MATCH($M183,Profiles!$A$2:$A$100,0)))</f>
        <v/>
      </c>
      <c r="P183" s="21" t="str">
        <f aca="false">IF($L183&lt;&gt;"Planned","",$K183*$D183*$N183*(1+$O183))</f>
        <v/>
      </c>
      <c r="Q183" s="21" t="str">
        <f aca="false">IF($L183&lt;&gt;"Planned","",$K183*$D183)</f>
        <v/>
      </c>
      <c r="R183" s="21" t="str">
        <f aca="false">IF($L183&lt;&gt;"Planned","",MAX(N($E183),$K183*$D183*$N183,$K183*N($G183)))</f>
        <v/>
      </c>
      <c r="S183" s="21" t="str">
        <f aca="false">IF($L183&lt;&gt;"Planned","",$P183)</f>
        <v/>
      </c>
      <c r="T183" s="21" t="str">
        <f aca="false">IF($L183&lt;&gt;"Planned","",$P183+$Q183)</f>
        <v/>
      </c>
      <c r="U183" s="21" t="str">
        <f aca="false">IF($L183&lt;&gt;"Planned","",$T183+$R183)</f>
        <v/>
      </c>
      <c r="V183" s="8" t="str">
        <f aca="false">IF($A183="","",SUMIFS('Open supply'!$C:$C,'Open supply'!$A:$A,$AF183))</f>
        <v/>
      </c>
      <c r="W183" s="8" t="str">
        <f aca="false">IF($A183="","",SUMIFS('Open supply'!$C:$C,'Open supply'!$A:$A,$AF183,'Open supply'!$B:$B,"&lt;"&amp;PlanDate))</f>
        <v/>
      </c>
      <c r="X183" s="8" t="str">
        <f aca="false">IF($A183="","",SUMIFS('Open demand'!$G:$G,'Open demand'!$A:$A,$AF183))</f>
        <v/>
      </c>
      <c r="Y183" s="8" t="str">
        <f aca="false">IF($L183&lt;&gt;"Planned","",N($H183)+$V183-$X183)</f>
        <v/>
      </c>
      <c r="Z183" s="19" t="str">
        <f aca="false">IF($L183&lt;&gt;"Planned","",IF($Y183&lt;=$S183,"Red",IF($Y183&lt;=$T183,"Yellow",IF($Y183&lt;=$U183,"Green","Above green"))))</f>
        <v/>
      </c>
      <c r="AA183" s="22" t="str">
        <f aca="false">IF(OR($L183&lt;&gt;"Planned",N($U183)&lt;=0),"",$Y183/$U183)</f>
        <v/>
      </c>
      <c r="AB183" s="8" t="str">
        <f aca="false">IF($L183&lt;&gt;"Planned","",IF($Y183&lt;=$T183,ROUNDUP(MAX($U183-$Y183,N($E183))/IF(N($F183)&gt;0,$F183,1)-0.000000001,0)*IF(N($F183)&gt;0,$F183,1),""))</f>
        <v/>
      </c>
      <c r="AC183" s="23" t="str">
        <f aca="false">IF(N($AB183)&gt;0,PlanDate+ROUNDUP($D183,0),"")</f>
        <v/>
      </c>
      <c r="AD183" s="19" t="str">
        <f aca="false">IF($L183&lt;&gt;"Planned","",IF(N($H183)&lt;=0,"Stockout",IF(N($H183)&lt;$S183*0.5,"Critical",IF(N($H183)&lt;=$S183,"Low",IF(N($H183)&gt;$U183,"Over top of green","OK")))))</f>
        <v/>
      </c>
      <c r="AE183" s="8" t="str">
        <f aca="false">IF($A183="","",$A183&amp;"")</f>
        <v/>
      </c>
      <c r="AF183" s="8" t="str">
        <f aca="false">IF($A183="","",SUBSTITUTE(SUBSTITUTE(SUBSTITUTE($A183&amp;"","~","~~"),"*","~*"),"?","~?"))</f>
        <v/>
      </c>
    </row>
    <row r="184" customFormat="false" ht="15" hidden="false" customHeight="false" outlineLevel="0" collapsed="false">
      <c r="A184" s="11"/>
      <c r="B184" s="11"/>
      <c r="C184" s="11"/>
      <c r="D184" s="16"/>
      <c r="E184" s="11"/>
      <c r="F184" s="11"/>
      <c r="G184" s="9"/>
      <c r="H184" s="11"/>
      <c r="I184" s="17"/>
      <c r="J184" s="18" t="str">
        <f aca="false">IF($A184="","",IF(COUNT(Usage!$C:$C)=0,"",MAX(0,SUMIFS(Usage!$C:$C,Usage!$A:$A,$AF184,Usage!$B:$B,"&gt;="&amp;(PlanDate-AduWindow),Usage!$B:$B,"&lt;"&amp;PlanDate))/AduWindow))</f>
        <v/>
      </c>
      <c r="K184" s="18" t="str">
        <f aca="false">IF($A184="","",IF(AND(ISNUMBER($I184),N($I184)&gt;=0),$I184,$J184))</f>
        <v/>
      </c>
      <c r="L184" s="19" t="str">
        <f aca="false">IF($A184="","",IF($K184="","Needs ADU",IF($K184&lt;=0,"No recent demand",IF(N($D184)&lt;=0,"Needs lead time","Planned"))))</f>
        <v/>
      </c>
      <c r="M184" s="8" t="str">
        <f aca="false">IF($A184="","",IF(ISNUMBER(MATCH($C184,Profiles!$A$2:$A$100,0)),$C184,DefaultProfile))</f>
        <v/>
      </c>
      <c r="N184" s="20" t="str">
        <f aca="false">IF($A184="","",INDEX(Profiles!$D$2:$D$100,MATCH($M184,Profiles!$A$2:$A$100,0)))</f>
        <v/>
      </c>
      <c r="O184" s="20" t="str">
        <f aca="false">IF($A184="","",INDEX(Profiles!$E$2:$E$100,MATCH($M184,Profiles!$A$2:$A$100,0)))</f>
        <v/>
      </c>
      <c r="P184" s="21" t="str">
        <f aca="false">IF($L184&lt;&gt;"Planned","",$K184*$D184*$N184*(1+$O184))</f>
        <v/>
      </c>
      <c r="Q184" s="21" t="str">
        <f aca="false">IF($L184&lt;&gt;"Planned","",$K184*$D184)</f>
        <v/>
      </c>
      <c r="R184" s="21" t="str">
        <f aca="false">IF($L184&lt;&gt;"Planned","",MAX(N($E184),$K184*$D184*$N184,$K184*N($G184)))</f>
        <v/>
      </c>
      <c r="S184" s="21" t="str">
        <f aca="false">IF($L184&lt;&gt;"Planned","",$P184)</f>
        <v/>
      </c>
      <c r="T184" s="21" t="str">
        <f aca="false">IF($L184&lt;&gt;"Planned","",$P184+$Q184)</f>
        <v/>
      </c>
      <c r="U184" s="21" t="str">
        <f aca="false">IF($L184&lt;&gt;"Planned","",$T184+$R184)</f>
        <v/>
      </c>
      <c r="V184" s="8" t="str">
        <f aca="false">IF($A184="","",SUMIFS('Open supply'!$C:$C,'Open supply'!$A:$A,$AF184))</f>
        <v/>
      </c>
      <c r="W184" s="8" t="str">
        <f aca="false">IF($A184="","",SUMIFS('Open supply'!$C:$C,'Open supply'!$A:$A,$AF184,'Open supply'!$B:$B,"&lt;"&amp;PlanDate))</f>
        <v/>
      </c>
      <c r="X184" s="8" t="str">
        <f aca="false">IF($A184="","",SUMIFS('Open demand'!$G:$G,'Open demand'!$A:$A,$AF184))</f>
        <v/>
      </c>
      <c r="Y184" s="8" t="str">
        <f aca="false">IF($L184&lt;&gt;"Planned","",N($H184)+$V184-$X184)</f>
        <v/>
      </c>
      <c r="Z184" s="19" t="str">
        <f aca="false">IF($L184&lt;&gt;"Planned","",IF($Y184&lt;=$S184,"Red",IF($Y184&lt;=$T184,"Yellow",IF($Y184&lt;=$U184,"Green","Above green"))))</f>
        <v/>
      </c>
      <c r="AA184" s="22" t="str">
        <f aca="false">IF(OR($L184&lt;&gt;"Planned",N($U184)&lt;=0),"",$Y184/$U184)</f>
        <v/>
      </c>
      <c r="AB184" s="8" t="str">
        <f aca="false">IF($L184&lt;&gt;"Planned","",IF($Y184&lt;=$T184,ROUNDUP(MAX($U184-$Y184,N($E184))/IF(N($F184)&gt;0,$F184,1)-0.000000001,0)*IF(N($F184)&gt;0,$F184,1),""))</f>
        <v/>
      </c>
      <c r="AC184" s="23" t="str">
        <f aca="false">IF(N($AB184)&gt;0,PlanDate+ROUNDUP($D184,0),"")</f>
        <v/>
      </c>
      <c r="AD184" s="19" t="str">
        <f aca="false">IF($L184&lt;&gt;"Planned","",IF(N($H184)&lt;=0,"Stockout",IF(N($H184)&lt;$S184*0.5,"Critical",IF(N($H184)&lt;=$S184,"Low",IF(N($H184)&gt;$U184,"Over top of green","OK")))))</f>
        <v/>
      </c>
      <c r="AE184" s="8" t="str">
        <f aca="false">IF($A184="","",$A184&amp;"")</f>
        <v/>
      </c>
      <c r="AF184" s="8" t="str">
        <f aca="false">IF($A184="","",SUBSTITUTE(SUBSTITUTE(SUBSTITUTE($A184&amp;"","~","~~"),"*","~*"),"?","~?"))</f>
        <v/>
      </c>
    </row>
    <row r="185" customFormat="false" ht="15" hidden="false" customHeight="false" outlineLevel="0" collapsed="false">
      <c r="A185" s="11"/>
      <c r="B185" s="11"/>
      <c r="C185" s="11"/>
      <c r="D185" s="16"/>
      <c r="E185" s="11"/>
      <c r="F185" s="11"/>
      <c r="G185" s="9"/>
      <c r="H185" s="11"/>
      <c r="I185" s="17"/>
      <c r="J185" s="18" t="str">
        <f aca="false">IF($A185="","",IF(COUNT(Usage!$C:$C)=0,"",MAX(0,SUMIFS(Usage!$C:$C,Usage!$A:$A,$AF185,Usage!$B:$B,"&gt;="&amp;(PlanDate-AduWindow),Usage!$B:$B,"&lt;"&amp;PlanDate))/AduWindow))</f>
        <v/>
      </c>
      <c r="K185" s="18" t="str">
        <f aca="false">IF($A185="","",IF(AND(ISNUMBER($I185),N($I185)&gt;=0),$I185,$J185))</f>
        <v/>
      </c>
      <c r="L185" s="19" t="str">
        <f aca="false">IF($A185="","",IF($K185="","Needs ADU",IF($K185&lt;=0,"No recent demand",IF(N($D185)&lt;=0,"Needs lead time","Planned"))))</f>
        <v/>
      </c>
      <c r="M185" s="8" t="str">
        <f aca="false">IF($A185="","",IF(ISNUMBER(MATCH($C185,Profiles!$A$2:$A$100,0)),$C185,DefaultProfile))</f>
        <v/>
      </c>
      <c r="N185" s="20" t="str">
        <f aca="false">IF($A185="","",INDEX(Profiles!$D$2:$D$100,MATCH($M185,Profiles!$A$2:$A$100,0)))</f>
        <v/>
      </c>
      <c r="O185" s="20" t="str">
        <f aca="false">IF($A185="","",INDEX(Profiles!$E$2:$E$100,MATCH($M185,Profiles!$A$2:$A$100,0)))</f>
        <v/>
      </c>
      <c r="P185" s="21" t="str">
        <f aca="false">IF($L185&lt;&gt;"Planned","",$K185*$D185*$N185*(1+$O185))</f>
        <v/>
      </c>
      <c r="Q185" s="21" t="str">
        <f aca="false">IF($L185&lt;&gt;"Planned","",$K185*$D185)</f>
        <v/>
      </c>
      <c r="R185" s="21" t="str">
        <f aca="false">IF($L185&lt;&gt;"Planned","",MAX(N($E185),$K185*$D185*$N185,$K185*N($G185)))</f>
        <v/>
      </c>
      <c r="S185" s="21" t="str">
        <f aca="false">IF($L185&lt;&gt;"Planned","",$P185)</f>
        <v/>
      </c>
      <c r="T185" s="21" t="str">
        <f aca="false">IF($L185&lt;&gt;"Planned","",$P185+$Q185)</f>
        <v/>
      </c>
      <c r="U185" s="21" t="str">
        <f aca="false">IF($L185&lt;&gt;"Planned","",$T185+$R185)</f>
        <v/>
      </c>
      <c r="V185" s="8" t="str">
        <f aca="false">IF($A185="","",SUMIFS('Open supply'!$C:$C,'Open supply'!$A:$A,$AF185))</f>
        <v/>
      </c>
      <c r="W185" s="8" t="str">
        <f aca="false">IF($A185="","",SUMIFS('Open supply'!$C:$C,'Open supply'!$A:$A,$AF185,'Open supply'!$B:$B,"&lt;"&amp;PlanDate))</f>
        <v/>
      </c>
      <c r="X185" s="8" t="str">
        <f aca="false">IF($A185="","",SUMIFS('Open demand'!$G:$G,'Open demand'!$A:$A,$AF185))</f>
        <v/>
      </c>
      <c r="Y185" s="8" t="str">
        <f aca="false">IF($L185&lt;&gt;"Planned","",N($H185)+$V185-$X185)</f>
        <v/>
      </c>
      <c r="Z185" s="19" t="str">
        <f aca="false">IF($L185&lt;&gt;"Planned","",IF($Y185&lt;=$S185,"Red",IF($Y185&lt;=$T185,"Yellow",IF($Y185&lt;=$U185,"Green","Above green"))))</f>
        <v/>
      </c>
      <c r="AA185" s="22" t="str">
        <f aca="false">IF(OR($L185&lt;&gt;"Planned",N($U185)&lt;=0),"",$Y185/$U185)</f>
        <v/>
      </c>
      <c r="AB185" s="8" t="str">
        <f aca="false">IF($L185&lt;&gt;"Planned","",IF($Y185&lt;=$T185,ROUNDUP(MAX($U185-$Y185,N($E185))/IF(N($F185)&gt;0,$F185,1)-0.000000001,0)*IF(N($F185)&gt;0,$F185,1),""))</f>
        <v/>
      </c>
      <c r="AC185" s="23" t="str">
        <f aca="false">IF(N($AB185)&gt;0,PlanDate+ROUNDUP($D185,0),"")</f>
        <v/>
      </c>
      <c r="AD185" s="19" t="str">
        <f aca="false">IF($L185&lt;&gt;"Planned","",IF(N($H185)&lt;=0,"Stockout",IF(N($H185)&lt;$S185*0.5,"Critical",IF(N($H185)&lt;=$S185,"Low",IF(N($H185)&gt;$U185,"Over top of green","OK")))))</f>
        <v/>
      </c>
      <c r="AE185" s="8" t="str">
        <f aca="false">IF($A185="","",$A185&amp;"")</f>
        <v/>
      </c>
      <c r="AF185" s="8" t="str">
        <f aca="false">IF($A185="","",SUBSTITUTE(SUBSTITUTE(SUBSTITUTE($A185&amp;"","~","~~"),"*","~*"),"?","~?"))</f>
        <v/>
      </c>
    </row>
    <row r="186" customFormat="false" ht="15" hidden="false" customHeight="false" outlineLevel="0" collapsed="false">
      <c r="A186" s="11"/>
      <c r="B186" s="11"/>
      <c r="C186" s="11"/>
      <c r="D186" s="16"/>
      <c r="E186" s="11"/>
      <c r="F186" s="11"/>
      <c r="G186" s="9"/>
      <c r="H186" s="11"/>
      <c r="I186" s="17"/>
      <c r="J186" s="18" t="str">
        <f aca="false">IF($A186="","",IF(COUNT(Usage!$C:$C)=0,"",MAX(0,SUMIFS(Usage!$C:$C,Usage!$A:$A,$AF186,Usage!$B:$B,"&gt;="&amp;(PlanDate-AduWindow),Usage!$B:$B,"&lt;"&amp;PlanDate))/AduWindow))</f>
        <v/>
      </c>
      <c r="K186" s="18" t="str">
        <f aca="false">IF($A186="","",IF(AND(ISNUMBER($I186),N($I186)&gt;=0),$I186,$J186))</f>
        <v/>
      </c>
      <c r="L186" s="19" t="str">
        <f aca="false">IF($A186="","",IF($K186="","Needs ADU",IF($K186&lt;=0,"No recent demand",IF(N($D186)&lt;=0,"Needs lead time","Planned"))))</f>
        <v/>
      </c>
      <c r="M186" s="8" t="str">
        <f aca="false">IF($A186="","",IF(ISNUMBER(MATCH($C186,Profiles!$A$2:$A$100,0)),$C186,DefaultProfile))</f>
        <v/>
      </c>
      <c r="N186" s="20" t="str">
        <f aca="false">IF($A186="","",INDEX(Profiles!$D$2:$D$100,MATCH($M186,Profiles!$A$2:$A$100,0)))</f>
        <v/>
      </c>
      <c r="O186" s="20" t="str">
        <f aca="false">IF($A186="","",INDEX(Profiles!$E$2:$E$100,MATCH($M186,Profiles!$A$2:$A$100,0)))</f>
        <v/>
      </c>
      <c r="P186" s="21" t="str">
        <f aca="false">IF($L186&lt;&gt;"Planned","",$K186*$D186*$N186*(1+$O186))</f>
        <v/>
      </c>
      <c r="Q186" s="21" t="str">
        <f aca="false">IF($L186&lt;&gt;"Planned","",$K186*$D186)</f>
        <v/>
      </c>
      <c r="R186" s="21" t="str">
        <f aca="false">IF($L186&lt;&gt;"Planned","",MAX(N($E186),$K186*$D186*$N186,$K186*N($G186)))</f>
        <v/>
      </c>
      <c r="S186" s="21" t="str">
        <f aca="false">IF($L186&lt;&gt;"Planned","",$P186)</f>
        <v/>
      </c>
      <c r="T186" s="21" t="str">
        <f aca="false">IF($L186&lt;&gt;"Planned","",$P186+$Q186)</f>
        <v/>
      </c>
      <c r="U186" s="21" t="str">
        <f aca="false">IF($L186&lt;&gt;"Planned","",$T186+$R186)</f>
        <v/>
      </c>
      <c r="V186" s="8" t="str">
        <f aca="false">IF($A186="","",SUMIFS('Open supply'!$C:$C,'Open supply'!$A:$A,$AF186))</f>
        <v/>
      </c>
      <c r="W186" s="8" t="str">
        <f aca="false">IF($A186="","",SUMIFS('Open supply'!$C:$C,'Open supply'!$A:$A,$AF186,'Open supply'!$B:$B,"&lt;"&amp;PlanDate))</f>
        <v/>
      </c>
      <c r="X186" s="8" t="str">
        <f aca="false">IF($A186="","",SUMIFS('Open demand'!$G:$G,'Open demand'!$A:$A,$AF186))</f>
        <v/>
      </c>
      <c r="Y186" s="8" t="str">
        <f aca="false">IF($L186&lt;&gt;"Planned","",N($H186)+$V186-$X186)</f>
        <v/>
      </c>
      <c r="Z186" s="19" t="str">
        <f aca="false">IF($L186&lt;&gt;"Planned","",IF($Y186&lt;=$S186,"Red",IF($Y186&lt;=$T186,"Yellow",IF($Y186&lt;=$U186,"Green","Above green"))))</f>
        <v/>
      </c>
      <c r="AA186" s="22" t="str">
        <f aca="false">IF(OR($L186&lt;&gt;"Planned",N($U186)&lt;=0),"",$Y186/$U186)</f>
        <v/>
      </c>
      <c r="AB186" s="8" t="str">
        <f aca="false">IF($L186&lt;&gt;"Planned","",IF($Y186&lt;=$T186,ROUNDUP(MAX($U186-$Y186,N($E186))/IF(N($F186)&gt;0,$F186,1)-0.000000001,0)*IF(N($F186)&gt;0,$F186,1),""))</f>
        <v/>
      </c>
      <c r="AC186" s="23" t="str">
        <f aca="false">IF(N($AB186)&gt;0,PlanDate+ROUNDUP($D186,0),"")</f>
        <v/>
      </c>
      <c r="AD186" s="19" t="str">
        <f aca="false">IF($L186&lt;&gt;"Planned","",IF(N($H186)&lt;=0,"Stockout",IF(N($H186)&lt;$S186*0.5,"Critical",IF(N($H186)&lt;=$S186,"Low",IF(N($H186)&gt;$U186,"Over top of green","OK")))))</f>
        <v/>
      </c>
      <c r="AE186" s="8" t="str">
        <f aca="false">IF($A186="","",$A186&amp;"")</f>
        <v/>
      </c>
      <c r="AF186" s="8" t="str">
        <f aca="false">IF($A186="","",SUBSTITUTE(SUBSTITUTE(SUBSTITUTE($A186&amp;"","~","~~"),"*","~*"),"?","~?"))</f>
        <v/>
      </c>
    </row>
    <row r="187" customFormat="false" ht="15" hidden="false" customHeight="false" outlineLevel="0" collapsed="false">
      <c r="A187" s="11"/>
      <c r="B187" s="11"/>
      <c r="C187" s="11"/>
      <c r="D187" s="16"/>
      <c r="E187" s="11"/>
      <c r="F187" s="11"/>
      <c r="G187" s="9"/>
      <c r="H187" s="11"/>
      <c r="I187" s="17"/>
      <c r="J187" s="18" t="str">
        <f aca="false">IF($A187="","",IF(COUNT(Usage!$C:$C)=0,"",MAX(0,SUMIFS(Usage!$C:$C,Usage!$A:$A,$AF187,Usage!$B:$B,"&gt;="&amp;(PlanDate-AduWindow),Usage!$B:$B,"&lt;"&amp;PlanDate))/AduWindow))</f>
        <v/>
      </c>
      <c r="K187" s="18" t="str">
        <f aca="false">IF($A187="","",IF(AND(ISNUMBER($I187),N($I187)&gt;=0),$I187,$J187))</f>
        <v/>
      </c>
      <c r="L187" s="19" t="str">
        <f aca="false">IF($A187="","",IF($K187="","Needs ADU",IF($K187&lt;=0,"No recent demand",IF(N($D187)&lt;=0,"Needs lead time","Planned"))))</f>
        <v/>
      </c>
      <c r="M187" s="8" t="str">
        <f aca="false">IF($A187="","",IF(ISNUMBER(MATCH($C187,Profiles!$A$2:$A$100,0)),$C187,DefaultProfile))</f>
        <v/>
      </c>
      <c r="N187" s="20" t="str">
        <f aca="false">IF($A187="","",INDEX(Profiles!$D$2:$D$100,MATCH($M187,Profiles!$A$2:$A$100,0)))</f>
        <v/>
      </c>
      <c r="O187" s="20" t="str">
        <f aca="false">IF($A187="","",INDEX(Profiles!$E$2:$E$100,MATCH($M187,Profiles!$A$2:$A$100,0)))</f>
        <v/>
      </c>
      <c r="P187" s="21" t="str">
        <f aca="false">IF($L187&lt;&gt;"Planned","",$K187*$D187*$N187*(1+$O187))</f>
        <v/>
      </c>
      <c r="Q187" s="21" t="str">
        <f aca="false">IF($L187&lt;&gt;"Planned","",$K187*$D187)</f>
        <v/>
      </c>
      <c r="R187" s="21" t="str">
        <f aca="false">IF($L187&lt;&gt;"Planned","",MAX(N($E187),$K187*$D187*$N187,$K187*N($G187)))</f>
        <v/>
      </c>
      <c r="S187" s="21" t="str">
        <f aca="false">IF($L187&lt;&gt;"Planned","",$P187)</f>
        <v/>
      </c>
      <c r="T187" s="21" t="str">
        <f aca="false">IF($L187&lt;&gt;"Planned","",$P187+$Q187)</f>
        <v/>
      </c>
      <c r="U187" s="21" t="str">
        <f aca="false">IF($L187&lt;&gt;"Planned","",$T187+$R187)</f>
        <v/>
      </c>
      <c r="V187" s="8" t="str">
        <f aca="false">IF($A187="","",SUMIFS('Open supply'!$C:$C,'Open supply'!$A:$A,$AF187))</f>
        <v/>
      </c>
      <c r="W187" s="8" t="str">
        <f aca="false">IF($A187="","",SUMIFS('Open supply'!$C:$C,'Open supply'!$A:$A,$AF187,'Open supply'!$B:$B,"&lt;"&amp;PlanDate))</f>
        <v/>
      </c>
      <c r="X187" s="8" t="str">
        <f aca="false">IF($A187="","",SUMIFS('Open demand'!$G:$G,'Open demand'!$A:$A,$AF187))</f>
        <v/>
      </c>
      <c r="Y187" s="8" t="str">
        <f aca="false">IF($L187&lt;&gt;"Planned","",N($H187)+$V187-$X187)</f>
        <v/>
      </c>
      <c r="Z187" s="19" t="str">
        <f aca="false">IF($L187&lt;&gt;"Planned","",IF($Y187&lt;=$S187,"Red",IF($Y187&lt;=$T187,"Yellow",IF($Y187&lt;=$U187,"Green","Above green"))))</f>
        <v/>
      </c>
      <c r="AA187" s="22" t="str">
        <f aca="false">IF(OR($L187&lt;&gt;"Planned",N($U187)&lt;=0),"",$Y187/$U187)</f>
        <v/>
      </c>
      <c r="AB187" s="8" t="str">
        <f aca="false">IF($L187&lt;&gt;"Planned","",IF($Y187&lt;=$T187,ROUNDUP(MAX($U187-$Y187,N($E187))/IF(N($F187)&gt;0,$F187,1)-0.000000001,0)*IF(N($F187)&gt;0,$F187,1),""))</f>
        <v/>
      </c>
      <c r="AC187" s="23" t="str">
        <f aca="false">IF(N($AB187)&gt;0,PlanDate+ROUNDUP($D187,0),"")</f>
        <v/>
      </c>
      <c r="AD187" s="19" t="str">
        <f aca="false">IF($L187&lt;&gt;"Planned","",IF(N($H187)&lt;=0,"Stockout",IF(N($H187)&lt;$S187*0.5,"Critical",IF(N($H187)&lt;=$S187,"Low",IF(N($H187)&gt;$U187,"Over top of green","OK")))))</f>
        <v/>
      </c>
      <c r="AE187" s="8" t="str">
        <f aca="false">IF($A187="","",$A187&amp;"")</f>
        <v/>
      </c>
      <c r="AF187" s="8" t="str">
        <f aca="false">IF($A187="","",SUBSTITUTE(SUBSTITUTE(SUBSTITUTE($A187&amp;"","~","~~"),"*","~*"),"?","~?"))</f>
        <v/>
      </c>
    </row>
    <row r="188" customFormat="false" ht="15" hidden="false" customHeight="false" outlineLevel="0" collapsed="false">
      <c r="A188" s="11"/>
      <c r="B188" s="11"/>
      <c r="C188" s="11"/>
      <c r="D188" s="16"/>
      <c r="E188" s="11"/>
      <c r="F188" s="11"/>
      <c r="G188" s="9"/>
      <c r="H188" s="11"/>
      <c r="I188" s="17"/>
      <c r="J188" s="18" t="str">
        <f aca="false">IF($A188="","",IF(COUNT(Usage!$C:$C)=0,"",MAX(0,SUMIFS(Usage!$C:$C,Usage!$A:$A,$AF188,Usage!$B:$B,"&gt;="&amp;(PlanDate-AduWindow),Usage!$B:$B,"&lt;"&amp;PlanDate))/AduWindow))</f>
        <v/>
      </c>
      <c r="K188" s="18" t="str">
        <f aca="false">IF($A188="","",IF(AND(ISNUMBER($I188),N($I188)&gt;=0),$I188,$J188))</f>
        <v/>
      </c>
      <c r="L188" s="19" t="str">
        <f aca="false">IF($A188="","",IF($K188="","Needs ADU",IF($K188&lt;=0,"No recent demand",IF(N($D188)&lt;=0,"Needs lead time","Planned"))))</f>
        <v/>
      </c>
      <c r="M188" s="8" t="str">
        <f aca="false">IF($A188="","",IF(ISNUMBER(MATCH($C188,Profiles!$A$2:$A$100,0)),$C188,DefaultProfile))</f>
        <v/>
      </c>
      <c r="N188" s="20" t="str">
        <f aca="false">IF($A188="","",INDEX(Profiles!$D$2:$D$100,MATCH($M188,Profiles!$A$2:$A$100,0)))</f>
        <v/>
      </c>
      <c r="O188" s="20" t="str">
        <f aca="false">IF($A188="","",INDEX(Profiles!$E$2:$E$100,MATCH($M188,Profiles!$A$2:$A$100,0)))</f>
        <v/>
      </c>
      <c r="P188" s="21" t="str">
        <f aca="false">IF($L188&lt;&gt;"Planned","",$K188*$D188*$N188*(1+$O188))</f>
        <v/>
      </c>
      <c r="Q188" s="21" t="str">
        <f aca="false">IF($L188&lt;&gt;"Planned","",$K188*$D188)</f>
        <v/>
      </c>
      <c r="R188" s="21" t="str">
        <f aca="false">IF($L188&lt;&gt;"Planned","",MAX(N($E188),$K188*$D188*$N188,$K188*N($G188)))</f>
        <v/>
      </c>
      <c r="S188" s="21" t="str">
        <f aca="false">IF($L188&lt;&gt;"Planned","",$P188)</f>
        <v/>
      </c>
      <c r="T188" s="21" t="str">
        <f aca="false">IF($L188&lt;&gt;"Planned","",$P188+$Q188)</f>
        <v/>
      </c>
      <c r="U188" s="21" t="str">
        <f aca="false">IF($L188&lt;&gt;"Planned","",$T188+$R188)</f>
        <v/>
      </c>
      <c r="V188" s="8" t="str">
        <f aca="false">IF($A188="","",SUMIFS('Open supply'!$C:$C,'Open supply'!$A:$A,$AF188))</f>
        <v/>
      </c>
      <c r="W188" s="8" t="str">
        <f aca="false">IF($A188="","",SUMIFS('Open supply'!$C:$C,'Open supply'!$A:$A,$AF188,'Open supply'!$B:$B,"&lt;"&amp;PlanDate))</f>
        <v/>
      </c>
      <c r="X188" s="8" t="str">
        <f aca="false">IF($A188="","",SUMIFS('Open demand'!$G:$G,'Open demand'!$A:$A,$AF188))</f>
        <v/>
      </c>
      <c r="Y188" s="8" t="str">
        <f aca="false">IF($L188&lt;&gt;"Planned","",N($H188)+$V188-$X188)</f>
        <v/>
      </c>
      <c r="Z188" s="19" t="str">
        <f aca="false">IF($L188&lt;&gt;"Planned","",IF($Y188&lt;=$S188,"Red",IF($Y188&lt;=$T188,"Yellow",IF($Y188&lt;=$U188,"Green","Above green"))))</f>
        <v/>
      </c>
      <c r="AA188" s="22" t="str">
        <f aca="false">IF(OR($L188&lt;&gt;"Planned",N($U188)&lt;=0),"",$Y188/$U188)</f>
        <v/>
      </c>
      <c r="AB188" s="8" t="str">
        <f aca="false">IF($L188&lt;&gt;"Planned","",IF($Y188&lt;=$T188,ROUNDUP(MAX($U188-$Y188,N($E188))/IF(N($F188)&gt;0,$F188,1)-0.000000001,0)*IF(N($F188)&gt;0,$F188,1),""))</f>
        <v/>
      </c>
      <c r="AC188" s="23" t="str">
        <f aca="false">IF(N($AB188)&gt;0,PlanDate+ROUNDUP($D188,0),"")</f>
        <v/>
      </c>
      <c r="AD188" s="19" t="str">
        <f aca="false">IF($L188&lt;&gt;"Planned","",IF(N($H188)&lt;=0,"Stockout",IF(N($H188)&lt;$S188*0.5,"Critical",IF(N($H188)&lt;=$S188,"Low",IF(N($H188)&gt;$U188,"Over top of green","OK")))))</f>
        <v/>
      </c>
      <c r="AE188" s="8" t="str">
        <f aca="false">IF($A188="","",$A188&amp;"")</f>
        <v/>
      </c>
      <c r="AF188" s="8" t="str">
        <f aca="false">IF($A188="","",SUBSTITUTE(SUBSTITUTE(SUBSTITUTE($A188&amp;"","~","~~"),"*","~*"),"?","~?"))</f>
        <v/>
      </c>
    </row>
    <row r="189" customFormat="false" ht="15" hidden="false" customHeight="false" outlineLevel="0" collapsed="false">
      <c r="A189" s="11"/>
      <c r="B189" s="11"/>
      <c r="C189" s="11"/>
      <c r="D189" s="16"/>
      <c r="E189" s="11"/>
      <c r="F189" s="11"/>
      <c r="G189" s="9"/>
      <c r="H189" s="11"/>
      <c r="I189" s="17"/>
      <c r="J189" s="18" t="str">
        <f aca="false">IF($A189="","",IF(COUNT(Usage!$C:$C)=0,"",MAX(0,SUMIFS(Usage!$C:$C,Usage!$A:$A,$AF189,Usage!$B:$B,"&gt;="&amp;(PlanDate-AduWindow),Usage!$B:$B,"&lt;"&amp;PlanDate))/AduWindow))</f>
        <v/>
      </c>
      <c r="K189" s="18" t="str">
        <f aca="false">IF($A189="","",IF(AND(ISNUMBER($I189),N($I189)&gt;=0),$I189,$J189))</f>
        <v/>
      </c>
      <c r="L189" s="19" t="str">
        <f aca="false">IF($A189="","",IF($K189="","Needs ADU",IF($K189&lt;=0,"No recent demand",IF(N($D189)&lt;=0,"Needs lead time","Planned"))))</f>
        <v/>
      </c>
      <c r="M189" s="8" t="str">
        <f aca="false">IF($A189="","",IF(ISNUMBER(MATCH($C189,Profiles!$A$2:$A$100,0)),$C189,DefaultProfile))</f>
        <v/>
      </c>
      <c r="N189" s="20" t="str">
        <f aca="false">IF($A189="","",INDEX(Profiles!$D$2:$D$100,MATCH($M189,Profiles!$A$2:$A$100,0)))</f>
        <v/>
      </c>
      <c r="O189" s="20" t="str">
        <f aca="false">IF($A189="","",INDEX(Profiles!$E$2:$E$100,MATCH($M189,Profiles!$A$2:$A$100,0)))</f>
        <v/>
      </c>
      <c r="P189" s="21" t="str">
        <f aca="false">IF($L189&lt;&gt;"Planned","",$K189*$D189*$N189*(1+$O189))</f>
        <v/>
      </c>
      <c r="Q189" s="21" t="str">
        <f aca="false">IF($L189&lt;&gt;"Planned","",$K189*$D189)</f>
        <v/>
      </c>
      <c r="R189" s="21" t="str">
        <f aca="false">IF($L189&lt;&gt;"Planned","",MAX(N($E189),$K189*$D189*$N189,$K189*N($G189)))</f>
        <v/>
      </c>
      <c r="S189" s="21" t="str">
        <f aca="false">IF($L189&lt;&gt;"Planned","",$P189)</f>
        <v/>
      </c>
      <c r="T189" s="21" t="str">
        <f aca="false">IF($L189&lt;&gt;"Planned","",$P189+$Q189)</f>
        <v/>
      </c>
      <c r="U189" s="21" t="str">
        <f aca="false">IF($L189&lt;&gt;"Planned","",$T189+$R189)</f>
        <v/>
      </c>
      <c r="V189" s="8" t="str">
        <f aca="false">IF($A189="","",SUMIFS('Open supply'!$C:$C,'Open supply'!$A:$A,$AF189))</f>
        <v/>
      </c>
      <c r="W189" s="8" t="str">
        <f aca="false">IF($A189="","",SUMIFS('Open supply'!$C:$C,'Open supply'!$A:$A,$AF189,'Open supply'!$B:$B,"&lt;"&amp;PlanDate))</f>
        <v/>
      </c>
      <c r="X189" s="8" t="str">
        <f aca="false">IF($A189="","",SUMIFS('Open demand'!$G:$G,'Open demand'!$A:$A,$AF189))</f>
        <v/>
      </c>
      <c r="Y189" s="8" t="str">
        <f aca="false">IF($L189&lt;&gt;"Planned","",N($H189)+$V189-$X189)</f>
        <v/>
      </c>
      <c r="Z189" s="19" t="str">
        <f aca="false">IF($L189&lt;&gt;"Planned","",IF($Y189&lt;=$S189,"Red",IF($Y189&lt;=$T189,"Yellow",IF($Y189&lt;=$U189,"Green","Above green"))))</f>
        <v/>
      </c>
      <c r="AA189" s="22" t="str">
        <f aca="false">IF(OR($L189&lt;&gt;"Planned",N($U189)&lt;=0),"",$Y189/$U189)</f>
        <v/>
      </c>
      <c r="AB189" s="8" t="str">
        <f aca="false">IF($L189&lt;&gt;"Planned","",IF($Y189&lt;=$T189,ROUNDUP(MAX($U189-$Y189,N($E189))/IF(N($F189)&gt;0,$F189,1)-0.000000001,0)*IF(N($F189)&gt;0,$F189,1),""))</f>
        <v/>
      </c>
      <c r="AC189" s="23" t="str">
        <f aca="false">IF(N($AB189)&gt;0,PlanDate+ROUNDUP($D189,0),"")</f>
        <v/>
      </c>
      <c r="AD189" s="19" t="str">
        <f aca="false">IF($L189&lt;&gt;"Planned","",IF(N($H189)&lt;=0,"Stockout",IF(N($H189)&lt;$S189*0.5,"Critical",IF(N($H189)&lt;=$S189,"Low",IF(N($H189)&gt;$U189,"Over top of green","OK")))))</f>
        <v/>
      </c>
      <c r="AE189" s="8" t="str">
        <f aca="false">IF($A189="","",$A189&amp;"")</f>
        <v/>
      </c>
      <c r="AF189" s="8" t="str">
        <f aca="false">IF($A189="","",SUBSTITUTE(SUBSTITUTE(SUBSTITUTE($A189&amp;"","~","~~"),"*","~*"),"?","~?"))</f>
        <v/>
      </c>
    </row>
    <row r="190" customFormat="false" ht="15" hidden="false" customHeight="false" outlineLevel="0" collapsed="false">
      <c r="A190" s="11"/>
      <c r="B190" s="11"/>
      <c r="C190" s="11"/>
      <c r="D190" s="16"/>
      <c r="E190" s="11"/>
      <c r="F190" s="11"/>
      <c r="G190" s="9"/>
      <c r="H190" s="11"/>
      <c r="I190" s="17"/>
      <c r="J190" s="18" t="str">
        <f aca="false">IF($A190="","",IF(COUNT(Usage!$C:$C)=0,"",MAX(0,SUMIFS(Usage!$C:$C,Usage!$A:$A,$AF190,Usage!$B:$B,"&gt;="&amp;(PlanDate-AduWindow),Usage!$B:$B,"&lt;"&amp;PlanDate))/AduWindow))</f>
        <v/>
      </c>
      <c r="K190" s="18" t="str">
        <f aca="false">IF($A190="","",IF(AND(ISNUMBER($I190),N($I190)&gt;=0),$I190,$J190))</f>
        <v/>
      </c>
      <c r="L190" s="19" t="str">
        <f aca="false">IF($A190="","",IF($K190="","Needs ADU",IF($K190&lt;=0,"No recent demand",IF(N($D190)&lt;=0,"Needs lead time","Planned"))))</f>
        <v/>
      </c>
      <c r="M190" s="8" t="str">
        <f aca="false">IF($A190="","",IF(ISNUMBER(MATCH($C190,Profiles!$A$2:$A$100,0)),$C190,DefaultProfile))</f>
        <v/>
      </c>
      <c r="N190" s="20" t="str">
        <f aca="false">IF($A190="","",INDEX(Profiles!$D$2:$D$100,MATCH($M190,Profiles!$A$2:$A$100,0)))</f>
        <v/>
      </c>
      <c r="O190" s="20" t="str">
        <f aca="false">IF($A190="","",INDEX(Profiles!$E$2:$E$100,MATCH($M190,Profiles!$A$2:$A$100,0)))</f>
        <v/>
      </c>
      <c r="P190" s="21" t="str">
        <f aca="false">IF($L190&lt;&gt;"Planned","",$K190*$D190*$N190*(1+$O190))</f>
        <v/>
      </c>
      <c r="Q190" s="21" t="str">
        <f aca="false">IF($L190&lt;&gt;"Planned","",$K190*$D190)</f>
        <v/>
      </c>
      <c r="R190" s="21" t="str">
        <f aca="false">IF($L190&lt;&gt;"Planned","",MAX(N($E190),$K190*$D190*$N190,$K190*N($G190)))</f>
        <v/>
      </c>
      <c r="S190" s="21" t="str">
        <f aca="false">IF($L190&lt;&gt;"Planned","",$P190)</f>
        <v/>
      </c>
      <c r="T190" s="21" t="str">
        <f aca="false">IF($L190&lt;&gt;"Planned","",$P190+$Q190)</f>
        <v/>
      </c>
      <c r="U190" s="21" t="str">
        <f aca="false">IF($L190&lt;&gt;"Planned","",$T190+$R190)</f>
        <v/>
      </c>
      <c r="V190" s="8" t="str">
        <f aca="false">IF($A190="","",SUMIFS('Open supply'!$C:$C,'Open supply'!$A:$A,$AF190))</f>
        <v/>
      </c>
      <c r="W190" s="8" t="str">
        <f aca="false">IF($A190="","",SUMIFS('Open supply'!$C:$C,'Open supply'!$A:$A,$AF190,'Open supply'!$B:$B,"&lt;"&amp;PlanDate))</f>
        <v/>
      </c>
      <c r="X190" s="8" t="str">
        <f aca="false">IF($A190="","",SUMIFS('Open demand'!$G:$G,'Open demand'!$A:$A,$AF190))</f>
        <v/>
      </c>
      <c r="Y190" s="8" t="str">
        <f aca="false">IF($L190&lt;&gt;"Planned","",N($H190)+$V190-$X190)</f>
        <v/>
      </c>
      <c r="Z190" s="19" t="str">
        <f aca="false">IF($L190&lt;&gt;"Planned","",IF($Y190&lt;=$S190,"Red",IF($Y190&lt;=$T190,"Yellow",IF($Y190&lt;=$U190,"Green","Above green"))))</f>
        <v/>
      </c>
      <c r="AA190" s="22" t="str">
        <f aca="false">IF(OR($L190&lt;&gt;"Planned",N($U190)&lt;=0),"",$Y190/$U190)</f>
        <v/>
      </c>
      <c r="AB190" s="8" t="str">
        <f aca="false">IF($L190&lt;&gt;"Planned","",IF($Y190&lt;=$T190,ROUNDUP(MAX($U190-$Y190,N($E190))/IF(N($F190)&gt;0,$F190,1)-0.000000001,0)*IF(N($F190)&gt;0,$F190,1),""))</f>
        <v/>
      </c>
      <c r="AC190" s="23" t="str">
        <f aca="false">IF(N($AB190)&gt;0,PlanDate+ROUNDUP($D190,0),"")</f>
        <v/>
      </c>
      <c r="AD190" s="19" t="str">
        <f aca="false">IF($L190&lt;&gt;"Planned","",IF(N($H190)&lt;=0,"Stockout",IF(N($H190)&lt;$S190*0.5,"Critical",IF(N($H190)&lt;=$S190,"Low",IF(N($H190)&gt;$U190,"Over top of green","OK")))))</f>
        <v/>
      </c>
      <c r="AE190" s="8" t="str">
        <f aca="false">IF($A190="","",$A190&amp;"")</f>
        <v/>
      </c>
      <c r="AF190" s="8" t="str">
        <f aca="false">IF($A190="","",SUBSTITUTE(SUBSTITUTE(SUBSTITUTE($A190&amp;"","~","~~"),"*","~*"),"?","~?"))</f>
        <v/>
      </c>
    </row>
    <row r="191" customFormat="false" ht="15" hidden="false" customHeight="false" outlineLevel="0" collapsed="false">
      <c r="A191" s="11"/>
      <c r="B191" s="11"/>
      <c r="C191" s="11"/>
      <c r="D191" s="16"/>
      <c r="E191" s="11"/>
      <c r="F191" s="11"/>
      <c r="G191" s="9"/>
      <c r="H191" s="11"/>
      <c r="I191" s="17"/>
      <c r="J191" s="18" t="str">
        <f aca="false">IF($A191="","",IF(COUNT(Usage!$C:$C)=0,"",MAX(0,SUMIFS(Usage!$C:$C,Usage!$A:$A,$AF191,Usage!$B:$B,"&gt;="&amp;(PlanDate-AduWindow),Usage!$B:$B,"&lt;"&amp;PlanDate))/AduWindow))</f>
        <v/>
      </c>
      <c r="K191" s="18" t="str">
        <f aca="false">IF($A191="","",IF(AND(ISNUMBER($I191),N($I191)&gt;=0),$I191,$J191))</f>
        <v/>
      </c>
      <c r="L191" s="19" t="str">
        <f aca="false">IF($A191="","",IF($K191="","Needs ADU",IF($K191&lt;=0,"No recent demand",IF(N($D191)&lt;=0,"Needs lead time","Planned"))))</f>
        <v/>
      </c>
      <c r="M191" s="8" t="str">
        <f aca="false">IF($A191="","",IF(ISNUMBER(MATCH($C191,Profiles!$A$2:$A$100,0)),$C191,DefaultProfile))</f>
        <v/>
      </c>
      <c r="N191" s="20" t="str">
        <f aca="false">IF($A191="","",INDEX(Profiles!$D$2:$D$100,MATCH($M191,Profiles!$A$2:$A$100,0)))</f>
        <v/>
      </c>
      <c r="O191" s="20" t="str">
        <f aca="false">IF($A191="","",INDEX(Profiles!$E$2:$E$100,MATCH($M191,Profiles!$A$2:$A$100,0)))</f>
        <v/>
      </c>
      <c r="P191" s="21" t="str">
        <f aca="false">IF($L191&lt;&gt;"Planned","",$K191*$D191*$N191*(1+$O191))</f>
        <v/>
      </c>
      <c r="Q191" s="21" t="str">
        <f aca="false">IF($L191&lt;&gt;"Planned","",$K191*$D191)</f>
        <v/>
      </c>
      <c r="R191" s="21" t="str">
        <f aca="false">IF($L191&lt;&gt;"Planned","",MAX(N($E191),$K191*$D191*$N191,$K191*N($G191)))</f>
        <v/>
      </c>
      <c r="S191" s="21" t="str">
        <f aca="false">IF($L191&lt;&gt;"Planned","",$P191)</f>
        <v/>
      </c>
      <c r="T191" s="21" t="str">
        <f aca="false">IF($L191&lt;&gt;"Planned","",$P191+$Q191)</f>
        <v/>
      </c>
      <c r="U191" s="21" t="str">
        <f aca="false">IF($L191&lt;&gt;"Planned","",$T191+$R191)</f>
        <v/>
      </c>
      <c r="V191" s="8" t="str">
        <f aca="false">IF($A191="","",SUMIFS('Open supply'!$C:$C,'Open supply'!$A:$A,$AF191))</f>
        <v/>
      </c>
      <c r="W191" s="8" t="str">
        <f aca="false">IF($A191="","",SUMIFS('Open supply'!$C:$C,'Open supply'!$A:$A,$AF191,'Open supply'!$B:$B,"&lt;"&amp;PlanDate))</f>
        <v/>
      </c>
      <c r="X191" s="8" t="str">
        <f aca="false">IF($A191="","",SUMIFS('Open demand'!$G:$G,'Open demand'!$A:$A,$AF191))</f>
        <v/>
      </c>
      <c r="Y191" s="8" t="str">
        <f aca="false">IF($L191&lt;&gt;"Planned","",N($H191)+$V191-$X191)</f>
        <v/>
      </c>
      <c r="Z191" s="19" t="str">
        <f aca="false">IF($L191&lt;&gt;"Planned","",IF($Y191&lt;=$S191,"Red",IF($Y191&lt;=$T191,"Yellow",IF($Y191&lt;=$U191,"Green","Above green"))))</f>
        <v/>
      </c>
      <c r="AA191" s="22" t="str">
        <f aca="false">IF(OR($L191&lt;&gt;"Planned",N($U191)&lt;=0),"",$Y191/$U191)</f>
        <v/>
      </c>
      <c r="AB191" s="8" t="str">
        <f aca="false">IF($L191&lt;&gt;"Planned","",IF($Y191&lt;=$T191,ROUNDUP(MAX($U191-$Y191,N($E191))/IF(N($F191)&gt;0,$F191,1)-0.000000001,0)*IF(N($F191)&gt;0,$F191,1),""))</f>
        <v/>
      </c>
      <c r="AC191" s="23" t="str">
        <f aca="false">IF(N($AB191)&gt;0,PlanDate+ROUNDUP($D191,0),"")</f>
        <v/>
      </c>
      <c r="AD191" s="19" t="str">
        <f aca="false">IF($L191&lt;&gt;"Planned","",IF(N($H191)&lt;=0,"Stockout",IF(N($H191)&lt;$S191*0.5,"Critical",IF(N($H191)&lt;=$S191,"Low",IF(N($H191)&gt;$U191,"Over top of green","OK")))))</f>
        <v/>
      </c>
      <c r="AE191" s="8" t="str">
        <f aca="false">IF($A191="","",$A191&amp;"")</f>
        <v/>
      </c>
      <c r="AF191" s="8" t="str">
        <f aca="false">IF($A191="","",SUBSTITUTE(SUBSTITUTE(SUBSTITUTE($A191&amp;"","~","~~"),"*","~*"),"?","~?"))</f>
        <v/>
      </c>
    </row>
    <row r="192" customFormat="false" ht="15" hidden="false" customHeight="false" outlineLevel="0" collapsed="false">
      <c r="A192" s="11"/>
      <c r="B192" s="11"/>
      <c r="C192" s="11"/>
      <c r="D192" s="16"/>
      <c r="E192" s="11"/>
      <c r="F192" s="11"/>
      <c r="G192" s="9"/>
      <c r="H192" s="11"/>
      <c r="I192" s="17"/>
      <c r="J192" s="18" t="str">
        <f aca="false">IF($A192="","",IF(COUNT(Usage!$C:$C)=0,"",MAX(0,SUMIFS(Usage!$C:$C,Usage!$A:$A,$AF192,Usage!$B:$B,"&gt;="&amp;(PlanDate-AduWindow),Usage!$B:$B,"&lt;"&amp;PlanDate))/AduWindow))</f>
        <v/>
      </c>
      <c r="K192" s="18" t="str">
        <f aca="false">IF($A192="","",IF(AND(ISNUMBER($I192),N($I192)&gt;=0),$I192,$J192))</f>
        <v/>
      </c>
      <c r="L192" s="19" t="str">
        <f aca="false">IF($A192="","",IF($K192="","Needs ADU",IF($K192&lt;=0,"No recent demand",IF(N($D192)&lt;=0,"Needs lead time","Planned"))))</f>
        <v/>
      </c>
      <c r="M192" s="8" t="str">
        <f aca="false">IF($A192="","",IF(ISNUMBER(MATCH($C192,Profiles!$A$2:$A$100,0)),$C192,DefaultProfile))</f>
        <v/>
      </c>
      <c r="N192" s="20" t="str">
        <f aca="false">IF($A192="","",INDEX(Profiles!$D$2:$D$100,MATCH($M192,Profiles!$A$2:$A$100,0)))</f>
        <v/>
      </c>
      <c r="O192" s="20" t="str">
        <f aca="false">IF($A192="","",INDEX(Profiles!$E$2:$E$100,MATCH($M192,Profiles!$A$2:$A$100,0)))</f>
        <v/>
      </c>
      <c r="P192" s="21" t="str">
        <f aca="false">IF($L192&lt;&gt;"Planned","",$K192*$D192*$N192*(1+$O192))</f>
        <v/>
      </c>
      <c r="Q192" s="21" t="str">
        <f aca="false">IF($L192&lt;&gt;"Planned","",$K192*$D192)</f>
        <v/>
      </c>
      <c r="R192" s="21" t="str">
        <f aca="false">IF($L192&lt;&gt;"Planned","",MAX(N($E192),$K192*$D192*$N192,$K192*N($G192)))</f>
        <v/>
      </c>
      <c r="S192" s="21" t="str">
        <f aca="false">IF($L192&lt;&gt;"Planned","",$P192)</f>
        <v/>
      </c>
      <c r="T192" s="21" t="str">
        <f aca="false">IF($L192&lt;&gt;"Planned","",$P192+$Q192)</f>
        <v/>
      </c>
      <c r="U192" s="21" t="str">
        <f aca="false">IF($L192&lt;&gt;"Planned","",$T192+$R192)</f>
        <v/>
      </c>
      <c r="V192" s="8" t="str">
        <f aca="false">IF($A192="","",SUMIFS('Open supply'!$C:$C,'Open supply'!$A:$A,$AF192))</f>
        <v/>
      </c>
      <c r="W192" s="8" t="str">
        <f aca="false">IF($A192="","",SUMIFS('Open supply'!$C:$C,'Open supply'!$A:$A,$AF192,'Open supply'!$B:$B,"&lt;"&amp;PlanDate))</f>
        <v/>
      </c>
      <c r="X192" s="8" t="str">
        <f aca="false">IF($A192="","",SUMIFS('Open demand'!$G:$G,'Open demand'!$A:$A,$AF192))</f>
        <v/>
      </c>
      <c r="Y192" s="8" t="str">
        <f aca="false">IF($L192&lt;&gt;"Planned","",N($H192)+$V192-$X192)</f>
        <v/>
      </c>
      <c r="Z192" s="19" t="str">
        <f aca="false">IF($L192&lt;&gt;"Planned","",IF($Y192&lt;=$S192,"Red",IF($Y192&lt;=$T192,"Yellow",IF($Y192&lt;=$U192,"Green","Above green"))))</f>
        <v/>
      </c>
      <c r="AA192" s="22" t="str">
        <f aca="false">IF(OR($L192&lt;&gt;"Planned",N($U192)&lt;=0),"",$Y192/$U192)</f>
        <v/>
      </c>
      <c r="AB192" s="8" t="str">
        <f aca="false">IF($L192&lt;&gt;"Planned","",IF($Y192&lt;=$T192,ROUNDUP(MAX($U192-$Y192,N($E192))/IF(N($F192)&gt;0,$F192,1)-0.000000001,0)*IF(N($F192)&gt;0,$F192,1),""))</f>
        <v/>
      </c>
      <c r="AC192" s="23" t="str">
        <f aca="false">IF(N($AB192)&gt;0,PlanDate+ROUNDUP($D192,0),"")</f>
        <v/>
      </c>
      <c r="AD192" s="19" t="str">
        <f aca="false">IF($L192&lt;&gt;"Planned","",IF(N($H192)&lt;=0,"Stockout",IF(N($H192)&lt;$S192*0.5,"Critical",IF(N($H192)&lt;=$S192,"Low",IF(N($H192)&gt;$U192,"Over top of green","OK")))))</f>
        <v/>
      </c>
      <c r="AE192" s="8" t="str">
        <f aca="false">IF($A192="","",$A192&amp;"")</f>
        <v/>
      </c>
      <c r="AF192" s="8" t="str">
        <f aca="false">IF($A192="","",SUBSTITUTE(SUBSTITUTE(SUBSTITUTE($A192&amp;"","~","~~"),"*","~*"),"?","~?"))</f>
        <v/>
      </c>
    </row>
    <row r="193" customFormat="false" ht="15" hidden="false" customHeight="false" outlineLevel="0" collapsed="false">
      <c r="A193" s="11"/>
      <c r="B193" s="11"/>
      <c r="C193" s="11"/>
      <c r="D193" s="16"/>
      <c r="E193" s="11"/>
      <c r="F193" s="11"/>
      <c r="G193" s="9"/>
      <c r="H193" s="11"/>
      <c r="I193" s="17"/>
      <c r="J193" s="18" t="str">
        <f aca="false">IF($A193="","",IF(COUNT(Usage!$C:$C)=0,"",MAX(0,SUMIFS(Usage!$C:$C,Usage!$A:$A,$AF193,Usage!$B:$B,"&gt;="&amp;(PlanDate-AduWindow),Usage!$B:$B,"&lt;"&amp;PlanDate))/AduWindow))</f>
        <v/>
      </c>
      <c r="K193" s="18" t="str">
        <f aca="false">IF($A193="","",IF(AND(ISNUMBER($I193),N($I193)&gt;=0),$I193,$J193))</f>
        <v/>
      </c>
      <c r="L193" s="19" t="str">
        <f aca="false">IF($A193="","",IF($K193="","Needs ADU",IF($K193&lt;=0,"No recent demand",IF(N($D193)&lt;=0,"Needs lead time","Planned"))))</f>
        <v/>
      </c>
      <c r="M193" s="8" t="str">
        <f aca="false">IF($A193="","",IF(ISNUMBER(MATCH($C193,Profiles!$A$2:$A$100,0)),$C193,DefaultProfile))</f>
        <v/>
      </c>
      <c r="N193" s="20" t="str">
        <f aca="false">IF($A193="","",INDEX(Profiles!$D$2:$D$100,MATCH($M193,Profiles!$A$2:$A$100,0)))</f>
        <v/>
      </c>
      <c r="O193" s="20" t="str">
        <f aca="false">IF($A193="","",INDEX(Profiles!$E$2:$E$100,MATCH($M193,Profiles!$A$2:$A$100,0)))</f>
        <v/>
      </c>
      <c r="P193" s="21" t="str">
        <f aca="false">IF($L193&lt;&gt;"Planned","",$K193*$D193*$N193*(1+$O193))</f>
        <v/>
      </c>
      <c r="Q193" s="21" t="str">
        <f aca="false">IF($L193&lt;&gt;"Planned","",$K193*$D193)</f>
        <v/>
      </c>
      <c r="R193" s="21" t="str">
        <f aca="false">IF($L193&lt;&gt;"Planned","",MAX(N($E193),$K193*$D193*$N193,$K193*N($G193)))</f>
        <v/>
      </c>
      <c r="S193" s="21" t="str">
        <f aca="false">IF($L193&lt;&gt;"Planned","",$P193)</f>
        <v/>
      </c>
      <c r="T193" s="21" t="str">
        <f aca="false">IF($L193&lt;&gt;"Planned","",$P193+$Q193)</f>
        <v/>
      </c>
      <c r="U193" s="21" t="str">
        <f aca="false">IF($L193&lt;&gt;"Planned","",$T193+$R193)</f>
        <v/>
      </c>
      <c r="V193" s="8" t="str">
        <f aca="false">IF($A193="","",SUMIFS('Open supply'!$C:$C,'Open supply'!$A:$A,$AF193))</f>
        <v/>
      </c>
      <c r="W193" s="8" t="str">
        <f aca="false">IF($A193="","",SUMIFS('Open supply'!$C:$C,'Open supply'!$A:$A,$AF193,'Open supply'!$B:$B,"&lt;"&amp;PlanDate))</f>
        <v/>
      </c>
      <c r="X193" s="8" t="str">
        <f aca="false">IF($A193="","",SUMIFS('Open demand'!$G:$G,'Open demand'!$A:$A,$AF193))</f>
        <v/>
      </c>
      <c r="Y193" s="8" t="str">
        <f aca="false">IF($L193&lt;&gt;"Planned","",N($H193)+$V193-$X193)</f>
        <v/>
      </c>
      <c r="Z193" s="19" t="str">
        <f aca="false">IF($L193&lt;&gt;"Planned","",IF($Y193&lt;=$S193,"Red",IF($Y193&lt;=$T193,"Yellow",IF($Y193&lt;=$U193,"Green","Above green"))))</f>
        <v/>
      </c>
      <c r="AA193" s="22" t="str">
        <f aca="false">IF(OR($L193&lt;&gt;"Planned",N($U193)&lt;=0),"",$Y193/$U193)</f>
        <v/>
      </c>
      <c r="AB193" s="8" t="str">
        <f aca="false">IF($L193&lt;&gt;"Planned","",IF($Y193&lt;=$T193,ROUNDUP(MAX($U193-$Y193,N($E193))/IF(N($F193)&gt;0,$F193,1)-0.000000001,0)*IF(N($F193)&gt;0,$F193,1),""))</f>
        <v/>
      </c>
      <c r="AC193" s="23" t="str">
        <f aca="false">IF(N($AB193)&gt;0,PlanDate+ROUNDUP($D193,0),"")</f>
        <v/>
      </c>
      <c r="AD193" s="19" t="str">
        <f aca="false">IF($L193&lt;&gt;"Planned","",IF(N($H193)&lt;=0,"Stockout",IF(N($H193)&lt;$S193*0.5,"Critical",IF(N($H193)&lt;=$S193,"Low",IF(N($H193)&gt;$U193,"Over top of green","OK")))))</f>
        <v/>
      </c>
      <c r="AE193" s="8" t="str">
        <f aca="false">IF($A193="","",$A193&amp;"")</f>
        <v/>
      </c>
      <c r="AF193" s="8" t="str">
        <f aca="false">IF($A193="","",SUBSTITUTE(SUBSTITUTE(SUBSTITUTE($A193&amp;"","~","~~"),"*","~*"),"?","~?"))</f>
        <v/>
      </c>
    </row>
    <row r="194" customFormat="false" ht="15" hidden="false" customHeight="false" outlineLevel="0" collapsed="false">
      <c r="A194" s="11"/>
      <c r="B194" s="11"/>
      <c r="C194" s="11"/>
      <c r="D194" s="16"/>
      <c r="E194" s="11"/>
      <c r="F194" s="11"/>
      <c r="G194" s="9"/>
      <c r="H194" s="11"/>
      <c r="I194" s="17"/>
      <c r="J194" s="18" t="str">
        <f aca="false">IF($A194="","",IF(COUNT(Usage!$C:$C)=0,"",MAX(0,SUMIFS(Usage!$C:$C,Usage!$A:$A,$AF194,Usage!$B:$B,"&gt;="&amp;(PlanDate-AduWindow),Usage!$B:$B,"&lt;"&amp;PlanDate))/AduWindow))</f>
        <v/>
      </c>
      <c r="K194" s="18" t="str">
        <f aca="false">IF($A194="","",IF(AND(ISNUMBER($I194),N($I194)&gt;=0),$I194,$J194))</f>
        <v/>
      </c>
      <c r="L194" s="19" t="str">
        <f aca="false">IF($A194="","",IF($K194="","Needs ADU",IF($K194&lt;=0,"No recent demand",IF(N($D194)&lt;=0,"Needs lead time","Planned"))))</f>
        <v/>
      </c>
      <c r="M194" s="8" t="str">
        <f aca="false">IF($A194="","",IF(ISNUMBER(MATCH($C194,Profiles!$A$2:$A$100,0)),$C194,DefaultProfile))</f>
        <v/>
      </c>
      <c r="N194" s="20" t="str">
        <f aca="false">IF($A194="","",INDEX(Profiles!$D$2:$D$100,MATCH($M194,Profiles!$A$2:$A$100,0)))</f>
        <v/>
      </c>
      <c r="O194" s="20" t="str">
        <f aca="false">IF($A194="","",INDEX(Profiles!$E$2:$E$100,MATCH($M194,Profiles!$A$2:$A$100,0)))</f>
        <v/>
      </c>
      <c r="P194" s="21" t="str">
        <f aca="false">IF($L194&lt;&gt;"Planned","",$K194*$D194*$N194*(1+$O194))</f>
        <v/>
      </c>
      <c r="Q194" s="21" t="str">
        <f aca="false">IF($L194&lt;&gt;"Planned","",$K194*$D194)</f>
        <v/>
      </c>
      <c r="R194" s="21" t="str">
        <f aca="false">IF($L194&lt;&gt;"Planned","",MAX(N($E194),$K194*$D194*$N194,$K194*N($G194)))</f>
        <v/>
      </c>
      <c r="S194" s="21" t="str">
        <f aca="false">IF($L194&lt;&gt;"Planned","",$P194)</f>
        <v/>
      </c>
      <c r="T194" s="21" t="str">
        <f aca="false">IF($L194&lt;&gt;"Planned","",$P194+$Q194)</f>
        <v/>
      </c>
      <c r="U194" s="21" t="str">
        <f aca="false">IF($L194&lt;&gt;"Planned","",$T194+$R194)</f>
        <v/>
      </c>
      <c r="V194" s="8" t="str">
        <f aca="false">IF($A194="","",SUMIFS('Open supply'!$C:$C,'Open supply'!$A:$A,$AF194))</f>
        <v/>
      </c>
      <c r="W194" s="8" t="str">
        <f aca="false">IF($A194="","",SUMIFS('Open supply'!$C:$C,'Open supply'!$A:$A,$AF194,'Open supply'!$B:$B,"&lt;"&amp;PlanDate))</f>
        <v/>
      </c>
      <c r="X194" s="8" t="str">
        <f aca="false">IF($A194="","",SUMIFS('Open demand'!$G:$G,'Open demand'!$A:$A,$AF194))</f>
        <v/>
      </c>
      <c r="Y194" s="8" t="str">
        <f aca="false">IF($L194&lt;&gt;"Planned","",N($H194)+$V194-$X194)</f>
        <v/>
      </c>
      <c r="Z194" s="19" t="str">
        <f aca="false">IF($L194&lt;&gt;"Planned","",IF($Y194&lt;=$S194,"Red",IF($Y194&lt;=$T194,"Yellow",IF($Y194&lt;=$U194,"Green","Above green"))))</f>
        <v/>
      </c>
      <c r="AA194" s="22" t="str">
        <f aca="false">IF(OR($L194&lt;&gt;"Planned",N($U194)&lt;=0),"",$Y194/$U194)</f>
        <v/>
      </c>
      <c r="AB194" s="8" t="str">
        <f aca="false">IF($L194&lt;&gt;"Planned","",IF($Y194&lt;=$T194,ROUNDUP(MAX($U194-$Y194,N($E194))/IF(N($F194)&gt;0,$F194,1)-0.000000001,0)*IF(N($F194)&gt;0,$F194,1),""))</f>
        <v/>
      </c>
      <c r="AC194" s="23" t="str">
        <f aca="false">IF(N($AB194)&gt;0,PlanDate+ROUNDUP($D194,0),"")</f>
        <v/>
      </c>
      <c r="AD194" s="19" t="str">
        <f aca="false">IF($L194&lt;&gt;"Planned","",IF(N($H194)&lt;=0,"Stockout",IF(N($H194)&lt;$S194*0.5,"Critical",IF(N($H194)&lt;=$S194,"Low",IF(N($H194)&gt;$U194,"Over top of green","OK")))))</f>
        <v/>
      </c>
      <c r="AE194" s="8" t="str">
        <f aca="false">IF($A194="","",$A194&amp;"")</f>
        <v/>
      </c>
      <c r="AF194" s="8" t="str">
        <f aca="false">IF($A194="","",SUBSTITUTE(SUBSTITUTE(SUBSTITUTE($A194&amp;"","~","~~"),"*","~*"),"?","~?"))</f>
        <v/>
      </c>
    </row>
    <row r="195" customFormat="false" ht="15" hidden="false" customHeight="false" outlineLevel="0" collapsed="false">
      <c r="A195" s="11"/>
      <c r="B195" s="11"/>
      <c r="C195" s="11"/>
      <c r="D195" s="16"/>
      <c r="E195" s="11"/>
      <c r="F195" s="11"/>
      <c r="G195" s="9"/>
      <c r="H195" s="11"/>
      <c r="I195" s="17"/>
      <c r="J195" s="18" t="str">
        <f aca="false">IF($A195="","",IF(COUNT(Usage!$C:$C)=0,"",MAX(0,SUMIFS(Usage!$C:$C,Usage!$A:$A,$AF195,Usage!$B:$B,"&gt;="&amp;(PlanDate-AduWindow),Usage!$B:$B,"&lt;"&amp;PlanDate))/AduWindow))</f>
        <v/>
      </c>
      <c r="K195" s="18" t="str">
        <f aca="false">IF($A195="","",IF(AND(ISNUMBER($I195),N($I195)&gt;=0),$I195,$J195))</f>
        <v/>
      </c>
      <c r="L195" s="19" t="str">
        <f aca="false">IF($A195="","",IF($K195="","Needs ADU",IF($K195&lt;=0,"No recent demand",IF(N($D195)&lt;=0,"Needs lead time","Planned"))))</f>
        <v/>
      </c>
      <c r="M195" s="8" t="str">
        <f aca="false">IF($A195="","",IF(ISNUMBER(MATCH($C195,Profiles!$A$2:$A$100,0)),$C195,DefaultProfile))</f>
        <v/>
      </c>
      <c r="N195" s="20" t="str">
        <f aca="false">IF($A195="","",INDEX(Profiles!$D$2:$D$100,MATCH($M195,Profiles!$A$2:$A$100,0)))</f>
        <v/>
      </c>
      <c r="O195" s="20" t="str">
        <f aca="false">IF($A195="","",INDEX(Profiles!$E$2:$E$100,MATCH($M195,Profiles!$A$2:$A$100,0)))</f>
        <v/>
      </c>
      <c r="P195" s="21" t="str">
        <f aca="false">IF($L195&lt;&gt;"Planned","",$K195*$D195*$N195*(1+$O195))</f>
        <v/>
      </c>
      <c r="Q195" s="21" t="str">
        <f aca="false">IF($L195&lt;&gt;"Planned","",$K195*$D195)</f>
        <v/>
      </c>
      <c r="R195" s="21" t="str">
        <f aca="false">IF($L195&lt;&gt;"Planned","",MAX(N($E195),$K195*$D195*$N195,$K195*N($G195)))</f>
        <v/>
      </c>
      <c r="S195" s="21" t="str">
        <f aca="false">IF($L195&lt;&gt;"Planned","",$P195)</f>
        <v/>
      </c>
      <c r="T195" s="21" t="str">
        <f aca="false">IF($L195&lt;&gt;"Planned","",$P195+$Q195)</f>
        <v/>
      </c>
      <c r="U195" s="21" t="str">
        <f aca="false">IF($L195&lt;&gt;"Planned","",$T195+$R195)</f>
        <v/>
      </c>
      <c r="V195" s="8" t="str">
        <f aca="false">IF($A195="","",SUMIFS('Open supply'!$C:$C,'Open supply'!$A:$A,$AF195))</f>
        <v/>
      </c>
      <c r="W195" s="8" t="str">
        <f aca="false">IF($A195="","",SUMIFS('Open supply'!$C:$C,'Open supply'!$A:$A,$AF195,'Open supply'!$B:$B,"&lt;"&amp;PlanDate))</f>
        <v/>
      </c>
      <c r="X195" s="8" t="str">
        <f aca="false">IF($A195="","",SUMIFS('Open demand'!$G:$G,'Open demand'!$A:$A,$AF195))</f>
        <v/>
      </c>
      <c r="Y195" s="8" t="str">
        <f aca="false">IF($L195&lt;&gt;"Planned","",N($H195)+$V195-$X195)</f>
        <v/>
      </c>
      <c r="Z195" s="19" t="str">
        <f aca="false">IF($L195&lt;&gt;"Planned","",IF($Y195&lt;=$S195,"Red",IF($Y195&lt;=$T195,"Yellow",IF($Y195&lt;=$U195,"Green","Above green"))))</f>
        <v/>
      </c>
      <c r="AA195" s="22" t="str">
        <f aca="false">IF(OR($L195&lt;&gt;"Planned",N($U195)&lt;=0),"",$Y195/$U195)</f>
        <v/>
      </c>
      <c r="AB195" s="8" t="str">
        <f aca="false">IF($L195&lt;&gt;"Planned","",IF($Y195&lt;=$T195,ROUNDUP(MAX($U195-$Y195,N($E195))/IF(N($F195)&gt;0,$F195,1)-0.000000001,0)*IF(N($F195)&gt;0,$F195,1),""))</f>
        <v/>
      </c>
      <c r="AC195" s="23" t="str">
        <f aca="false">IF(N($AB195)&gt;0,PlanDate+ROUNDUP($D195,0),"")</f>
        <v/>
      </c>
      <c r="AD195" s="19" t="str">
        <f aca="false">IF($L195&lt;&gt;"Planned","",IF(N($H195)&lt;=0,"Stockout",IF(N($H195)&lt;$S195*0.5,"Critical",IF(N($H195)&lt;=$S195,"Low",IF(N($H195)&gt;$U195,"Over top of green","OK")))))</f>
        <v/>
      </c>
      <c r="AE195" s="8" t="str">
        <f aca="false">IF($A195="","",$A195&amp;"")</f>
        <v/>
      </c>
      <c r="AF195" s="8" t="str">
        <f aca="false">IF($A195="","",SUBSTITUTE(SUBSTITUTE(SUBSTITUTE($A195&amp;"","~","~~"),"*","~*"),"?","~?"))</f>
        <v/>
      </c>
    </row>
    <row r="196" customFormat="false" ht="15" hidden="false" customHeight="false" outlineLevel="0" collapsed="false">
      <c r="A196" s="11"/>
      <c r="B196" s="11"/>
      <c r="C196" s="11"/>
      <c r="D196" s="16"/>
      <c r="E196" s="11"/>
      <c r="F196" s="11"/>
      <c r="G196" s="9"/>
      <c r="H196" s="11"/>
      <c r="I196" s="17"/>
      <c r="J196" s="18" t="str">
        <f aca="false">IF($A196="","",IF(COUNT(Usage!$C:$C)=0,"",MAX(0,SUMIFS(Usage!$C:$C,Usage!$A:$A,$AF196,Usage!$B:$B,"&gt;="&amp;(PlanDate-AduWindow),Usage!$B:$B,"&lt;"&amp;PlanDate))/AduWindow))</f>
        <v/>
      </c>
      <c r="K196" s="18" t="str">
        <f aca="false">IF($A196="","",IF(AND(ISNUMBER($I196),N($I196)&gt;=0),$I196,$J196))</f>
        <v/>
      </c>
      <c r="L196" s="19" t="str">
        <f aca="false">IF($A196="","",IF($K196="","Needs ADU",IF($K196&lt;=0,"No recent demand",IF(N($D196)&lt;=0,"Needs lead time","Planned"))))</f>
        <v/>
      </c>
      <c r="M196" s="8" t="str">
        <f aca="false">IF($A196="","",IF(ISNUMBER(MATCH($C196,Profiles!$A$2:$A$100,0)),$C196,DefaultProfile))</f>
        <v/>
      </c>
      <c r="N196" s="20" t="str">
        <f aca="false">IF($A196="","",INDEX(Profiles!$D$2:$D$100,MATCH($M196,Profiles!$A$2:$A$100,0)))</f>
        <v/>
      </c>
      <c r="O196" s="20" t="str">
        <f aca="false">IF($A196="","",INDEX(Profiles!$E$2:$E$100,MATCH($M196,Profiles!$A$2:$A$100,0)))</f>
        <v/>
      </c>
      <c r="P196" s="21" t="str">
        <f aca="false">IF($L196&lt;&gt;"Planned","",$K196*$D196*$N196*(1+$O196))</f>
        <v/>
      </c>
      <c r="Q196" s="21" t="str">
        <f aca="false">IF($L196&lt;&gt;"Planned","",$K196*$D196)</f>
        <v/>
      </c>
      <c r="R196" s="21" t="str">
        <f aca="false">IF($L196&lt;&gt;"Planned","",MAX(N($E196),$K196*$D196*$N196,$K196*N($G196)))</f>
        <v/>
      </c>
      <c r="S196" s="21" t="str">
        <f aca="false">IF($L196&lt;&gt;"Planned","",$P196)</f>
        <v/>
      </c>
      <c r="T196" s="21" t="str">
        <f aca="false">IF($L196&lt;&gt;"Planned","",$P196+$Q196)</f>
        <v/>
      </c>
      <c r="U196" s="21" t="str">
        <f aca="false">IF($L196&lt;&gt;"Planned","",$T196+$R196)</f>
        <v/>
      </c>
      <c r="V196" s="8" t="str">
        <f aca="false">IF($A196="","",SUMIFS('Open supply'!$C:$C,'Open supply'!$A:$A,$AF196))</f>
        <v/>
      </c>
      <c r="W196" s="8" t="str">
        <f aca="false">IF($A196="","",SUMIFS('Open supply'!$C:$C,'Open supply'!$A:$A,$AF196,'Open supply'!$B:$B,"&lt;"&amp;PlanDate))</f>
        <v/>
      </c>
      <c r="X196" s="8" t="str">
        <f aca="false">IF($A196="","",SUMIFS('Open demand'!$G:$G,'Open demand'!$A:$A,$AF196))</f>
        <v/>
      </c>
      <c r="Y196" s="8" t="str">
        <f aca="false">IF($L196&lt;&gt;"Planned","",N($H196)+$V196-$X196)</f>
        <v/>
      </c>
      <c r="Z196" s="19" t="str">
        <f aca="false">IF($L196&lt;&gt;"Planned","",IF($Y196&lt;=$S196,"Red",IF($Y196&lt;=$T196,"Yellow",IF($Y196&lt;=$U196,"Green","Above green"))))</f>
        <v/>
      </c>
      <c r="AA196" s="22" t="str">
        <f aca="false">IF(OR($L196&lt;&gt;"Planned",N($U196)&lt;=0),"",$Y196/$U196)</f>
        <v/>
      </c>
      <c r="AB196" s="8" t="str">
        <f aca="false">IF($L196&lt;&gt;"Planned","",IF($Y196&lt;=$T196,ROUNDUP(MAX($U196-$Y196,N($E196))/IF(N($F196)&gt;0,$F196,1)-0.000000001,0)*IF(N($F196)&gt;0,$F196,1),""))</f>
        <v/>
      </c>
      <c r="AC196" s="23" t="str">
        <f aca="false">IF(N($AB196)&gt;0,PlanDate+ROUNDUP($D196,0),"")</f>
        <v/>
      </c>
      <c r="AD196" s="19" t="str">
        <f aca="false">IF($L196&lt;&gt;"Planned","",IF(N($H196)&lt;=0,"Stockout",IF(N($H196)&lt;$S196*0.5,"Critical",IF(N($H196)&lt;=$S196,"Low",IF(N($H196)&gt;$U196,"Over top of green","OK")))))</f>
        <v/>
      </c>
      <c r="AE196" s="8" t="str">
        <f aca="false">IF($A196="","",$A196&amp;"")</f>
        <v/>
      </c>
      <c r="AF196" s="8" t="str">
        <f aca="false">IF($A196="","",SUBSTITUTE(SUBSTITUTE(SUBSTITUTE($A196&amp;"","~","~~"),"*","~*"),"?","~?"))</f>
        <v/>
      </c>
    </row>
    <row r="197" customFormat="false" ht="15" hidden="false" customHeight="false" outlineLevel="0" collapsed="false">
      <c r="A197" s="11"/>
      <c r="B197" s="11"/>
      <c r="C197" s="11"/>
      <c r="D197" s="16"/>
      <c r="E197" s="11"/>
      <c r="F197" s="11"/>
      <c r="G197" s="9"/>
      <c r="H197" s="11"/>
      <c r="I197" s="17"/>
      <c r="J197" s="18" t="str">
        <f aca="false">IF($A197="","",IF(COUNT(Usage!$C:$C)=0,"",MAX(0,SUMIFS(Usage!$C:$C,Usage!$A:$A,$AF197,Usage!$B:$B,"&gt;="&amp;(PlanDate-AduWindow),Usage!$B:$B,"&lt;"&amp;PlanDate))/AduWindow))</f>
        <v/>
      </c>
      <c r="K197" s="18" t="str">
        <f aca="false">IF($A197="","",IF(AND(ISNUMBER($I197),N($I197)&gt;=0),$I197,$J197))</f>
        <v/>
      </c>
      <c r="L197" s="19" t="str">
        <f aca="false">IF($A197="","",IF($K197="","Needs ADU",IF($K197&lt;=0,"No recent demand",IF(N($D197)&lt;=0,"Needs lead time","Planned"))))</f>
        <v/>
      </c>
      <c r="M197" s="8" t="str">
        <f aca="false">IF($A197="","",IF(ISNUMBER(MATCH($C197,Profiles!$A$2:$A$100,0)),$C197,DefaultProfile))</f>
        <v/>
      </c>
      <c r="N197" s="20" t="str">
        <f aca="false">IF($A197="","",INDEX(Profiles!$D$2:$D$100,MATCH($M197,Profiles!$A$2:$A$100,0)))</f>
        <v/>
      </c>
      <c r="O197" s="20" t="str">
        <f aca="false">IF($A197="","",INDEX(Profiles!$E$2:$E$100,MATCH($M197,Profiles!$A$2:$A$100,0)))</f>
        <v/>
      </c>
      <c r="P197" s="21" t="str">
        <f aca="false">IF($L197&lt;&gt;"Planned","",$K197*$D197*$N197*(1+$O197))</f>
        <v/>
      </c>
      <c r="Q197" s="21" t="str">
        <f aca="false">IF($L197&lt;&gt;"Planned","",$K197*$D197)</f>
        <v/>
      </c>
      <c r="R197" s="21" t="str">
        <f aca="false">IF($L197&lt;&gt;"Planned","",MAX(N($E197),$K197*$D197*$N197,$K197*N($G197)))</f>
        <v/>
      </c>
      <c r="S197" s="21" t="str">
        <f aca="false">IF($L197&lt;&gt;"Planned","",$P197)</f>
        <v/>
      </c>
      <c r="T197" s="21" t="str">
        <f aca="false">IF($L197&lt;&gt;"Planned","",$P197+$Q197)</f>
        <v/>
      </c>
      <c r="U197" s="21" t="str">
        <f aca="false">IF($L197&lt;&gt;"Planned","",$T197+$R197)</f>
        <v/>
      </c>
      <c r="V197" s="8" t="str">
        <f aca="false">IF($A197="","",SUMIFS('Open supply'!$C:$C,'Open supply'!$A:$A,$AF197))</f>
        <v/>
      </c>
      <c r="W197" s="8" t="str">
        <f aca="false">IF($A197="","",SUMIFS('Open supply'!$C:$C,'Open supply'!$A:$A,$AF197,'Open supply'!$B:$B,"&lt;"&amp;PlanDate))</f>
        <v/>
      </c>
      <c r="X197" s="8" t="str">
        <f aca="false">IF($A197="","",SUMIFS('Open demand'!$G:$G,'Open demand'!$A:$A,$AF197))</f>
        <v/>
      </c>
      <c r="Y197" s="8" t="str">
        <f aca="false">IF($L197&lt;&gt;"Planned","",N($H197)+$V197-$X197)</f>
        <v/>
      </c>
      <c r="Z197" s="19" t="str">
        <f aca="false">IF($L197&lt;&gt;"Planned","",IF($Y197&lt;=$S197,"Red",IF($Y197&lt;=$T197,"Yellow",IF($Y197&lt;=$U197,"Green","Above green"))))</f>
        <v/>
      </c>
      <c r="AA197" s="22" t="str">
        <f aca="false">IF(OR($L197&lt;&gt;"Planned",N($U197)&lt;=0),"",$Y197/$U197)</f>
        <v/>
      </c>
      <c r="AB197" s="8" t="str">
        <f aca="false">IF($L197&lt;&gt;"Planned","",IF($Y197&lt;=$T197,ROUNDUP(MAX($U197-$Y197,N($E197))/IF(N($F197)&gt;0,$F197,1)-0.000000001,0)*IF(N($F197)&gt;0,$F197,1),""))</f>
        <v/>
      </c>
      <c r="AC197" s="23" t="str">
        <f aca="false">IF(N($AB197)&gt;0,PlanDate+ROUNDUP($D197,0),"")</f>
        <v/>
      </c>
      <c r="AD197" s="19" t="str">
        <f aca="false">IF($L197&lt;&gt;"Planned","",IF(N($H197)&lt;=0,"Stockout",IF(N($H197)&lt;$S197*0.5,"Critical",IF(N($H197)&lt;=$S197,"Low",IF(N($H197)&gt;$U197,"Over top of green","OK")))))</f>
        <v/>
      </c>
      <c r="AE197" s="8" t="str">
        <f aca="false">IF($A197="","",$A197&amp;"")</f>
        <v/>
      </c>
      <c r="AF197" s="8" t="str">
        <f aca="false">IF($A197="","",SUBSTITUTE(SUBSTITUTE(SUBSTITUTE($A197&amp;"","~","~~"),"*","~*"),"?","~?"))</f>
        <v/>
      </c>
    </row>
    <row r="198" customFormat="false" ht="15" hidden="false" customHeight="false" outlineLevel="0" collapsed="false">
      <c r="A198" s="11"/>
      <c r="B198" s="11"/>
      <c r="C198" s="11"/>
      <c r="D198" s="16"/>
      <c r="E198" s="11"/>
      <c r="F198" s="11"/>
      <c r="G198" s="9"/>
      <c r="H198" s="11"/>
      <c r="I198" s="17"/>
      <c r="J198" s="18" t="str">
        <f aca="false">IF($A198="","",IF(COUNT(Usage!$C:$C)=0,"",MAX(0,SUMIFS(Usage!$C:$C,Usage!$A:$A,$AF198,Usage!$B:$B,"&gt;="&amp;(PlanDate-AduWindow),Usage!$B:$B,"&lt;"&amp;PlanDate))/AduWindow))</f>
        <v/>
      </c>
      <c r="K198" s="18" t="str">
        <f aca="false">IF($A198="","",IF(AND(ISNUMBER($I198),N($I198)&gt;=0),$I198,$J198))</f>
        <v/>
      </c>
      <c r="L198" s="19" t="str">
        <f aca="false">IF($A198="","",IF($K198="","Needs ADU",IF($K198&lt;=0,"No recent demand",IF(N($D198)&lt;=0,"Needs lead time","Planned"))))</f>
        <v/>
      </c>
      <c r="M198" s="8" t="str">
        <f aca="false">IF($A198="","",IF(ISNUMBER(MATCH($C198,Profiles!$A$2:$A$100,0)),$C198,DefaultProfile))</f>
        <v/>
      </c>
      <c r="N198" s="20" t="str">
        <f aca="false">IF($A198="","",INDEX(Profiles!$D$2:$D$100,MATCH($M198,Profiles!$A$2:$A$100,0)))</f>
        <v/>
      </c>
      <c r="O198" s="20" t="str">
        <f aca="false">IF($A198="","",INDEX(Profiles!$E$2:$E$100,MATCH($M198,Profiles!$A$2:$A$100,0)))</f>
        <v/>
      </c>
      <c r="P198" s="21" t="str">
        <f aca="false">IF($L198&lt;&gt;"Planned","",$K198*$D198*$N198*(1+$O198))</f>
        <v/>
      </c>
      <c r="Q198" s="21" t="str">
        <f aca="false">IF($L198&lt;&gt;"Planned","",$K198*$D198)</f>
        <v/>
      </c>
      <c r="R198" s="21" t="str">
        <f aca="false">IF($L198&lt;&gt;"Planned","",MAX(N($E198),$K198*$D198*$N198,$K198*N($G198)))</f>
        <v/>
      </c>
      <c r="S198" s="21" t="str">
        <f aca="false">IF($L198&lt;&gt;"Planned","",$P198)</f>
        <v/>
      </c>
      <c r="T198" s="21" t="str">
        <f aca="false">IF($L198&lt;&gt;"Planned","",$P198+$Q198)</f>
        <v/>
      </c>
      <c r="U198" s="21" t="str">
        <f aca="false">IF($L198&lt;&gt;"Planned","",$T198+$R198)</f>
        <v/>
      </c>
      <c r="V198" s="8" t="str">
        <f aca="false">IF($A198="","",SUMIFS('Open supply'!$C:$C,'Open supply'!$A:$A,$AF198))</f>
        <v/>
      </c>
      <c r="W198" s="8" t="str">
        <f aca="false">IF($A198="","",SUMIFS('Open supply'!$C:$C,'Open supply'!$A:$A,$AF198,'Open supply'!$B:$B,"&lt;"&amp;PlanDate))</f>
        <v/>
      </c>
      <c r="X198" s="8" t="str">
        <f aca="false">IF($A198="","",SUMIFS('Open demand'!$G:$G,'Open demand'!$A:$A,$AF198))</f>
        <v/>
      </c>
      <c r="Y198" s="8" t="str">
        <f aca="false">IF($L198&lt;&gt;"Planned","",N($H198)+$V198-$X198)</f>
        <v/>
      </c>
      <c r="Z198" s="19" t="str">
        <f aca="false">IF($L198&lt;&gt;"Planned","",IF($Y198&lt;=$S198,"Red",IF($Y198&lt;=$T198,"Yellow",IF($Y198&lt;=$U198,"Green","Above green"))))</f>
        <v/>
      </c>
      <c r="AA198" s="22" t="str">
        <f aca="false">IF(OR($L198&lt;&gt;"Planned",N($U198)&lt;=0),"",$Y198/$U198)</f>
        <v/>
      </c>
      <c r="AB198" s="8" t="str">
        <f aca="false">IF($L198&lt;&gt;"Planned","",IF($Y198&lt;=$T198,ROUNDUP(MAX($U198-$Y198,N($E198))/IF(N($F198)&gt;0,$F198,1)-0.000000001,0)*IF(N($F198)&gt;0,$F198,1),""))</f>
        <v/>
      </c>
      <c r="AC198" s="23" t="str">
        <f aca="false">IF(N($AB198)&gt;0,PlanDate+ROUNDUP($D198,0),"")</f>
        <v/>
      </c>
      <c r="AD198" s="19" t="str">
        <f aca="false">IF($L198&lt;&gt;"Planned","",IF(N($H198)&lt;=0,"Stockout",IF(N($H198)&lt;$S198*0.5,"Critical",IF(N($H198)&lt;=$S198,"Low",IF(N($H198)&gt;$U198,"Over top of green","OK")))))</f>
        <v/>
      </c>
      <c r="AE198" s="8" t="str">
        <f aca="false">IF($A198="","",$A198&amp;"")</f>
        <v/>
      </c>
      <c r="AF198" s="8" t="str">
        <f aca="false">IF($A198="","",SUBSTITUTE(SUBSTITUTE(SUBSTITUTE($A198&amp;"","~","~~"),"*","~*"),"?","~?"))</f>
        <v/>
      </c>
    </row>
    <row r="199" customFormat="false" ht="15" hidden="false" customHeight="false" outlineLevel="0" collapsed="false">
      <c r="A199" s="11"/>
      <c r="B199" s="11"/>
      <c r="C199" s="11"/>
      <c r="D199" s="16"/>
      <c r="E199" s="11"/>
      <c r="F199" s="11"/>
      <c r="G199" s="9"/>
      <c r="H199" s="11"/>
      <c r="I199" s="17"/>
      <c r="J199" s="18" t="str">
        <f aca="false">IF($A199="","",IF(COUNT(Usage!$C:$C)=0,"",MAX(0,SUMIFS(Usage!$C:$C,Usage!$A:$A,$AF199,Usage!$B:$B,"&gt;="&amp;(PlanDate-AduWindow),Usage!$B:$B,"&lt;"&amp;PlanDate))/AduWindow))</f>
        <v/>
      </c>
      <c r="K199" s="18" t="str">
        <f aca="false">IF($A199="","",IF(AND(ISNUMBER($I199),N($I199)&gt;=0),$I199,$J199))</f>
        <v/>
      </c>
      <c r="L199" s="19" t="str">
        <f aca="false">IF($A199="","",IF($K199="","Needs ADU",IF($K199&lt;=0,"No recent demand",IF(N($D199)&lt;=0,"Needs lead time","Planned"))))</f>
        <v/>
      </c>
      <c r="M199" s="8" t="str">
        <f aca="false">IF($A199="","",IF(ISNUMBER(MATCH($C199,Profiles!$A$2:$A$100,0)),$C199,DefaultProfile))</f>
        <v/>
      </c>
      <c r="N199" s="20" t="str">
        <f aca="false">IF($A199="","",INDEX(Profiles!$D$2:$D$100,MATCH($M199,Profiles!$A$2:$A$100,0)))</f>
        <v/>
      </c>
      <c r="O199" s="20" t="str">
        <f aca="false">IF($A199="","",INDEX(Profiles!$E$2:$E$100,MATCH($M199,Profiles!$A$2:$A$100,0)))</f>
        <v/>
      </c>
      <c r="P199" s="21" t="str">
        <f aca="false">IF($L199&lt;&gt;"Planned","",$K199*$D199*$N199*(1+$O199))</f>
        <v/>
      </c>
      <c r="Q199" s="21" t="str">
        <f aca="false">IF($L199&lt;&gt;"Planned","",$K199*$D199)</f>
        <v/>
      </c>
      <c r="R199" s="21" t="str">
        <f aca="false">IF($L199&lt;&gt;"Planned","",MAX(N($E199),$K199*$D199*$N199,$K199*N($G199)))</f>
        <v/>
      </c>
      <c r="S199" s="21" t="str">
        <f aca="false">IF($L199&lt;&gt;"Planned","",$P199)</f>
        <v/>
      </c>
      <c r="T199" s="21" t="str">
        <f aca="false">IF($L199&lt;&gt;"Planned","",$P199+$Q199)</f>
        <v/>
      </c>
      <c r="U199" s="21" t="str">
        <f aca="false">IF($L199&lt;&gt;"Planned","",$T199+$R199)</f>
        <v/>
      </c>
      <c r="V199" s="8" t="str">
        <f aca="false">IF($A199="","",SUMIFS('Open supply'!$C:$C,'Open supply'!$A:$A,$AF199))</f>
        <v/>
      </c>
      <c r="W199" s="8" t="str">
        <f aca="false">IF($A199="","",SUMIFS('Open supply'!$C:$C,'Open supply'!$A:$A,$AF199,'Open supply'!$B:$B,"&lt;"&amp;PlanDate))</f>
        <v/>
      </c>
      <c r="X199" s="8" t="str">
        <f aca="false">IF($A199="","",SUMIFS('Open demand'!$G:$G,'Open demand'!$A:$A,$AF199))</f>
        <v/>
      </c>
      <c r="Y199" s="8" t="str">
        <f aca="false">IF($L199&lt;&gt;"Planned","",N($H199)+$V199-$X199)</f>
        <v/>
      </c>
      <c r="Z199" s="19" t="str">
        <f aca="false">IF($L199&lt;&gt;"Planned","",IF($Y199&lt;=$S199,"Red",IF($Y199&lt;=$T199,"Yellow",IF($Y199&lt;=$U199,"Green","Above green"))))</f>
        <v/>
      </c>
      <c r="AA199" s="22" t="str">
        <f aca="false">IF(OR($L199&lt;&gt;"Planned",N($U199)&lt;=0),"",$Y199/$U199)</f>
        <v/>
      </c>
      <c r="AB199" s="8" t="str">
        <f aca="false">IF($L199&lt;&gt;"Planned","",IF($Y199&lt;=$T199,ROUNDUP(MAX($U199-$Y199,N($E199))/IF(N($F199)&gt;0,$F199,1)-0.000000001,0)*IF(N($F199)&gt;0,$F199,1),""))</f>
        <v/>
      </c>
      <c r="AC199" s="23" t="str">
        <f aca="false">IF(N($AB199)&gt;0,PlanDate+ROUNDUP($D199,0),"")</f>
        <v/>
      </c>
      <c r="AD199" s="19" t="str">
        <f aca="false">IF($L199&lt;&gt;"Planned","",IF(N($H199)&lt;=0,"Stockout",IF(N($H199)&lt;$S199*0.5,"Critical",IF(N($H199)&lt;=$S199,"Low",IF(N($H199)&gt;$U199,"Over top of green","OK")))))</f>
        <v/>
      </c>
      <c r="AE199" s="8" t="str">
        <f aca="false">IF($A199="","",$A199&amp;"")</f>
        <v/>
      </c>
      <c r="AF199" s="8" t="str">
        <f aca="false">IF($A199="","",SUBSTITUTE(SUBSTITUTE(SUBSTITUTE($A199&amp;"","~","~~"),"*","~*"),"?","~?"))</f>
        <v/>
      </c>
    </row>
    <row r="200" customFormat="false" ht="15" hidden="false" customHeight="false" outlineLevel="0" collapsed="false">
      <c r="A200" s="11"/>
      <c r="B200" s="11"/>
      <c r="C200" s="11"/>
      <c r="D200" s="16"/>
      <c r="E200" s="11"/>
      <c r="F200" s="11"/>
      <c r="G200" s="9"/>
      <c r="H200" s="11"/>
      <c r="I200" s="17"/>
      <c r="J200" s="18" t="str">
        <f aca="false">IF($A200="","",IF(COUNT(Usage!$C:$C)=0,"",MAX(0,SUMIFS(Usage!$C:$C,Usage!$A:$A,$AF200,Usage!$B:$B,"&gt;="&amp;(PlanDate-AduWindow),Usage!$B:$B,"&lt;"&amp;PlanDate))/AduWindow))</f>
        <v/>
      </c>
      <c r="K200" s="18" t="str">
        <f aca="false">IF($A200="","",IF(AND(ISNUMBER($I200),N($I200)&gt;=0),$I200,$J200))</f>
        <v/>
      </c>
      <c r="L200" s="19" t="str">
        <f aca="false">IF($A200="","",IF($K200="","Needs ADU",IF($K200&lt;=0,"No recent demand",IF(N($D200)&lt;=0,"Needs lead time","Planned"))))</f>
        <v/>
      </c>
      <c r="M200" s="8" t="str">
        <f aca="false">IF($A200="","",IF(ISNUMBER(MATCH($C200,Profiles!$A$2:$A$100,0)),$C200,DefaultProfile))</f>
        <v/>
      </c>
      <c r="N200" s="20" t="str">
        <f aca="false">IF($A200="","",INDEX(Profiles!$D$2:$D$100,MATCH($M200,Profiles!$A$2:$A$100,0)))</f>
        <v/>
      </c>
      <c r="O200" s="20" t="str">
        <f aca="false">IF($A200="","",INDEX(Profiles!$E$2:$E$100,MATCH($M200,Profiles!$A$2:$A$100,0)))</f>
        <v/>
      </c>
      <c r="P200" s="21" t="str">
        <f aca="false">IF($L200&lt;&gt;"Planned","",$K200*$D200*$N200*(1+$O200))</f>
        <v/>
      </c>
      <c r="Q200" s="21" t="str">
        <f aca="false">IF($L200&lt;&gt;"Planned","",$K200*$D200)</f>
        <v/>
      </c>
      <c r="R200" s="21" t="str">
        <f aca="false">IF($L200&lt;&gt;"Planned","",MAX(N($E200),$K200*$D200*$N200,$K200*N($G200)))</f>
        <v/>
      </c>
      <c r="S200" s="21" t="str">
        <f aca="false">IF($L200&lt;&gt;"Planned","",$P200)</f>
        <v/>
      </c>
      <c r="T200" s="21" t="str">
        <f aca="false">IF($L200&lt;&gt;"Planned","",$P200+$Q200)</f>
        <v/>
      </c>
      <c r="U200" s="21" t="str">
        <f aca="false">IF($L200&lt;&gt;"Planned","",$T200+$R200)</f>
        <v/>
      </c>
      <c r="V200" s="8" t="str">
        <f aca="false">IF($A200="","",SUMIFS('Open supply'!$C:$C,'Open supply'!$A:$A,$AF200))</f>
        <v/>
      </c>
      <c r="W200" s="8" t="str">
        <f aca="false">IF($A200="","",SUMIFS('Open supply'!$C:$C,'Open supply'!$A:$A,$AF200,'Open supply'!$B:$B,"&lt;"&amp;PlanDate))</f>
        <v/>
      </c>
      <c r="X200" s="8" t="str">
        <f aca="false">IF($A200="","",SUMIFS('Open demand'!$G:$G,'Open demand'!$A:$A,$AF200))</f>
        <v/>
      </c>
      <c r="Y200" s="8" t="str">
        <f aca="false">IF($L200&lt;&gt;"Planned","",N($H200)+$V200-$X200)</f>
        <v/>
      </c>
      <c r="Z200" s="19" t="str">
        <f aca="false">IF($L200&lt;&gt;"Planned","",IF($Y200&lt;=$S200,"Red",IF($Y200&lt;=$T200,"Yellow",IF($Y200&lt;=$U200,"Green","Above green"))))</f>
        <v/>
      </c>
      <c r="AA200" s="22" t="str">
        <f aca="false">IF(OR($L200&lt;&gt;"Planned",N($U200)&lt;=0),"",$Y200/$U200)</f>
        <v/>
      </c>
      <c r="AB200" s="8" t="str">
        <f aca="false">IF($L200&lt;&gt;"Planned","",IF($Y200&lt;=$T200,ROUNDUP(MAX($U200-$Y200,N($E200))/IF(N($F200)&gt;0,$F200,1)-0.000000001,0)*IF(N($F200)&gt;0,$F200,1),""))</f>
        <v/>
      </c>
      <c r="AC200" s="23" t="str">
        <f aca="false">IF(N($AB200)&gt;0,PlanDate+ROUNDUP($D200,0),"")</f>
        <v/>
      </c>
      <c r="AD200" s="19" t="str">
        <f aca="false">IF($L200&lt;&gt;"Planned","",IF(N($H200)&lt;=0,"Stockout",IF(N($H200)&lt;$S200*0.5,"Critical",IF(N($H200)&lt;=$S200,"Low",IF(N($H200)&gt;$U200,"Over top of green","OK")))))</f>
        <v/>
      </c>
      <c r="AE200" s="8" t="str">
        <f aca="false">IF($A200="","",$A200&amp;"")</f>
        <v/>
      </c>
      <c r="AF200" s="8" t="str">
        <f aca="false">IF($A200="","",SUBSTITUTE(SUBSTITUTE(SUBSTITUTE($A200&amp;"","~","~~"),"*","~*"),"?","~?"))</f>
        <v/>
      </c>
    </row>
    <row r="201" customFormat="false" ht="15" hidden="false" customHeight="false" outlineLevel="0" collapsed="false">
      <c r="A201" s="11"/>
      <c r="B201" s="11"/>
      <c r="C201" s="11"/>
      <c r="D201" s="16"/>
      <c r="E201" s="11"/>
      <c r="F201" s="11"/>
      <c r="G201" s="9"/>
      <c r="H201" s="11"/>
      <c r="I201" s="17"/>
      <c r="J201" s="18" t="str">
        <f aca="false">IF($A201="","",IF(COUNT(Usage!$C:$C)=0,"",MAX(0,SUMIFS(Usage!$C:$C,Usage!$A:$A,$AF201,Usage!$B:$B,"&gt;="&amp;(PlanDate-AduWindow),Usage!$B:$B,"&lt;"&amp;PlanDate))/AduWindow))</f>
        <v/>
      </c>
      <c r="K201" s="18" t="str">
        <f aca="false">IF($A201="","",IF(AND(ISNUMBER($I201),N($I201)&gt;=0),$I201,$J201))</f>
        <v/>
      </c>
      <c r="L201" s="19" t="str">
        <f aca="false">IF($A201="","",IF($K201="","Needs ADU",IF($K201&lt;=0,"No recent demand",IF(N($D201)&lt;=0,"Needs lead time","Planned"))))</f>
        <v/>
      </c>
      <c r="M201" s="8" t="str">
        <f aca="false">IF($A201="","",IF(ISNUMBER(MATCH($C201,Profiles!$A$2:$A$100,0)),$C201,DefaultProfile))</f>
        <v/>
      </c>
      <c r="N201" s="20" t="str">
        <f aca="false">IF($A201="","",INDEX(Profiles!$D$2:$D$100,MATCH($M201,Profiles!$A$2:$A$100,0)))</f>
        <v/>
      </c>
      <c r="O201" s="20" t="str">
        <f aca="false">IF($A201="","",INDEX(Profiles!$E$2:$E$100,MATCH($M201,Profiles!$A$2:$A$100,0)))</f>
        <v/>
      </c>
      <c r="P201" s="21" t="str">
        <f aca="false">IF($L201&lt;&gt;"Planned","",$K201*$D201*$N201*(1+$O201))</f>
        <v/>
      </c>
      <c r="Q201" s="21" t="str">
        <f aca="false">IF($L201&lt;&gt;"Planned","",$K201*$D201)</f>
        <v/>
      </c>
      <c r="R201" s="21" t="str">
        <f aca="false">IF($L201&lt;&gt;"Planned","",MAX(N($E201),$K201*$D201*$N201,$K201*N($G201)))</f>
        <v/>
      </c>
      <c r="S201" s="21" t="str">
        <f aca="false">IF($L201&lt;&gt;"Planned","",$P201)</f>
        <v/>
      </c>
      <c r="T201" s="21" t="str">
        <f aca="false">IF($L201&lt;&gt;"Planned","",$P201+$Q201)</f>
        <v/>
      </c>
      <c r="U201" s="21" t="str">
        <f aca="false">IF($L201&lt;&gt;"Planned","",$T201+$R201)</f>
        <v/>
      </c>
      <c r="V201" s="8" t="str">
        <f aca="false">IF($A201="","",SUMIFS('Open supply'!$C:$C,'Open supply'!$A:$A,$AF201))</f>
        <v/>
      </c>
      <c r="W201" s="8" t="str">
        <f aca="false">IF($A201="","",SUMIFS('Open supply'!$C:$C,'Open supply'!$A:$A,$AF201,'Open supply'!$B:$B,"&lt;"&amp;PlanDate))</f>
        <v/>
      </c>
      <c r="X201" s="8" t="str">
        <f aca="false">IF($A201="","",SUMIFS('Open demand'!$G:$G,'Open demand'!$A:$A,$AF201))</f>
        <v/>
      </c>
      <c r="Y201" s="8" t="str">
        <f aca="false">IF($L201&lt;&gt;"Planned","",N($H201)+$V201-$X201)</f>
        <v/>
      </c>
      <c r="Z201" s="19" t="str">
        <f aca="false">IF($L201&lt;&gt;"Planned","",IF($Y201&lt;=$S201,"Red",IF($Y201&lt;=$T201,"Yellow",IF($Y201&lt;=$U201,"Green","Above green"))))</f>
        <v/>
      </c>
      <c r="AA201" s="22" t="str">
        <f aca="false">IF(OR($L201&lt;&gt;"Planned",N($U201)&lt;=0),"",$Y201/$U201)</f>
        <v/>
      </c>
      <c r="AB201" s="8" t="str">
        <f aca="false">IF($L201&lt;&gt;"Planned","",IF($Y201&lt;=$T201,ROUNDUP(MAX($U201-$Y201,N($E201))/IF(N($F201)&gt;0,$F201,1)-0.000000001,0)*IF(N($F201)&gt;0,$F201,1),""))</f>
        <v/>
      </c>
      <c r="AC201" s="23" t="str">
        <f aca="false">IF(N($AB201)&gt;0,PlanDate+ROUNDUP($D201,0),"")</f>
        <v/>
      </c>
      <c r="AD201" s="19" t="str">
        <f aca="false">IF($L201&lt;&gt;"Planned","",IF(N($H201)&lt;=0,"Stockout",IF(N($H201)&lt;$S201*0.5,"Critical",IF(N($H201)&lt;=$S201,"Low",IF(N($H201)&gt;$U201,"Over top of green","OK")))))</f>
        <v/>
      </c>
      <c r="AE201" s="8" t="str">
        <f aca="false">IF($A201="","",$A201&amp;"")</f>
        <v/>
      </c>
      <c r="AF201" s="8" t="str">
        <f aca="false">IF($A201="","",SUBSTITUTE(SUBSTITUTE(SUBSTITUTE($A201&amp;"","~","~~"),"*","~*"),"?","~?"))</f>
        <v/>
      </c>
    </row>
    <row r="202" customFormat="false" ht="15" hidden="false" customHeight="false" outlineLevel="0" collapsed="false">
      <c r="A202" s="11"/>
      <c r="B202" s="11"/>
      <c r="C202" s="11"/>
      <c r="D202" s="16"/>
      <c r="E202" s="11"/>
      <c r="F202" s="11"/>
      <c r="G202" s="9"/>
      <c r="H202" s="11"/>
      <c r="I202" s="17"/>
      <c r="J202" s="18" t="str">
        <f aca="false">IF($A202="","",IF(COUNT(Usage!$C:$C)=0,"",MAX(0,SUMIFS(Usage!$C:$C,Usage!$A:$A,$AF202,Usage!$B:$B,"&gt;="&amp;(PlanDate-AduWindow),Usage!$B:$B,"&lt;"&amp;PlanDate))/AduWindow))</f>
        <v/>
      </c>
      <c r="K202" s="18" t="str">
        <f aca="false">IF($A202="","",IF(AND(ISNUMBER($I202),N($I202)&gt;=0),$I202,$J202))</f>
        <v/>
      </c>
      <c r="L202" s="19" t="str">
        <f aca="false">IF($A202="","",IF($K202="","Needs ADU",IF($K202&lt;=0,"No recent demand",IF(N($D202)&lt;=0,"Needs lead time","Planned"))))</f>
        <v/>
      </c>
      <c r="M202" s="8" t="str">
        <f aca="false">IF($A202="","",IF(ISNUMBER(MATCH($C202,Profiles!$A$2:$A$100,0)),$C202,DefaultProfile))</f>
        <v/>
      </c>
      <c r="N202" s="20" t="str">
        <f aca="false">IF($A202="","",INDEX(Profiles!$D$2:$D$100,MATCH($M202,Profiles!$A$2:$A$100,0)))</f>
        <v/>
      </c>
      <c r="O202" s="20" t="str">
        <f aca="false">IF($A202="","",INDEX(Profiles!$E$2:$E$100,MATCH($M202,Profiles!$A$2:$A$100,0)))</f>
        <v/>
      </c>
      <c r="P202" s="21" t="str">
        <f aca="false">IF($L202&lt;&gt;"Planned","",$K202*$D202*$N202*(1+$O202))</f>
        <v/>
      </c>
      <c r="Q202" s="21" t="str">
        <f aca="false">IF($L202&lt;&gt;"Planned","",$K202*$D202)</f>
        <v/>
      </c>
      <c r="R202" s="21" t="str">
        <f aca="false">IF($L202&lt;&gt;"Planned","",MAX(N($E202),$K202*$D202*$N202,$K202*N($G202)))</f>
        <v/>
      </c>
      <c r="S202" s="21" t="str">
        <f aca="false">IF($L202&lt;&gt;"Planned","",$P202)</f>
        <v/>
      </c>
      <c r="T202" s="21" t="str">
        <f aca="false">IF($L202&lt;&gt;"Planned","",$P202+$Q202)</f>
        <v/>
      </c>
      <c r="U202" s="21" t="str">
        <f aca="false">IF($L202&lt;&gt;"Planned","",$T202+$R202)</f>
        <v/>
      </c>
      <c r="V202" s="8" t="str">
        <f aca="false">IF($A202="","",SUMIFS('Open supply'!$C:$C,'Open supply'!$A:$A,$AF202))</f>
        <v/>
      </c>
      <c r="W202" s="8" t="str">
        <f aca="false">IF($A202="","",SUMIFS('Open supply'!$C:$C,'Open supply'!$A:$A,$AF202,'Open supply'!$B:$B,"&lt;"&amp;PlanDate))</f>
        <v/>
      </c>
      <c r="X202" s="8" t="str">
        <f aca="false">IF($A202="","",SUMIFS('Open demand'!$G:$G,'Open demand'!$A:$A,$AF202))</f>
        <v/>
      </c>
      <c r="Y202" s="8" t="str">
        <f aca="false">IF($L202&lt;&gt;"Planned","",N($H202)+$V202-$X202)</f>
        <v/>
      </c>
      <c r="Z202" s="19" t="str">
        <f aca="false">IF($L202&lt;&gt;"Planned","",IF($Y202&lt;=$S202,"Red",IF($Y202&lt;=$T202,"Yellow",IF($Y202&lt;=$U202,"Green","Above green"))))</f>
        <v/>
      </c>
      <c r="AA202" s="22" t="str">
        <f aca="false">IF(OR($L202&lt;&gt;"Planned",N($U202)&lt;=0),"",$Y202/$U202)</f>
        <v/>
      </c>
      <c r="AB202" s="8" t="str">
        <f aca="false">IF($L202&lt;&gt;"Planned","",IF($Y202&lt;=$T202,ROUNDUP(MAX($U202-$Y202,N($E202))/IF(N($F202)&gt;0,$F202,1)-0.000000001,0)*IF(N($F202)&gt;0,$F202,1),""))</f>
        <v/>
      </c>
      <c r="AC202" s="23" t="str">
        <f aca="false">IF(N($AB202)&gt;0,PlanDate+ROUNDUP($D202,0),"")</f>
        <v/>
      </c>
      <c r="AD202" s="19" t="str">
        <f aca="false">IF($L202&lt;&gt;"Planned","",IF(N($H202)&lt;=0,"Stockout",IF(N($H202)&lt;$S202*0.5,"Critical",IF(N($H202)&lt;=$S202,"Low",IF(N($H202)&gt;$U202,"Over top of green","OK")))))</f>
        <v/>
      </c>
      <c r="AE202" s="8" t="str">
        <f aca="false">IF($A202="","",$A202&amp;"")</f>
        <v/>
      </c>
      <c r="AF202" s="8" t="str">
        <f aca="false">IF($A202="","",SUBSTITUTE(SUBSTITUTE(SUBSTITUTE($A202&amp;"","~","~~"),"*","~*"),"?","~?"))</f>
        <v/>
      </c>
    </row>
    <row r="203" customFormat="false" ht="15" hidden="false" customHeight="false" outlineLevel="0" collapsed="false">
      <c r="A203" s="11"/>
      <c r="B203" s="11"/>
      <c r="C203" s="11"/>
      <c r="D203" s="16"/>
      <c r="E203" s="11"/>
      <c r="F203" s="11"/>
      <c r="G203" s="9"/>
      <c r="H203" s="11"/>
      <c r="I203" s="17"/>
      <c r="J203" s="18" t="str">
        <f aca="false">IF($A203="","",IF(COUNT(Usage!$C:$C)=0,"",MAX(0,SUMIFS(Usage!$C:$C,Usage!$A:$A,$AF203,Usage!$B:$B,"&gt;="&amp;(PlanDate-AduWindow),Usage!$B:$B,"&lt;"&amp;PlanDate))/AduWindow))</f>
        <v/>
      </c>
      <c r="K203" s="18" t="str">
        <f aca="false">IF($A203="","",IF(AND(ISNUMBER($I203),N($I203)&gt;=0),$I203,$J203))</f>
        <v/>
      </c>
      <c r="L203" s="19" t="str">
        <f aca="false">IF($A203="","",IF($K203="","Needs ADU",IF($K203&lt;=0,"No recent demand",IF(N($D203)&lt;=0,"Needs lead time","Planned"))))</f>
        <v/>
      </c>
      <c r="M203" s="8" t="str">
        <f aca="false">IF($A203="","",IF(ISNUMBER(MATCH($C203,Profiles!$A$2:$A$100,0)),$C203,DefaultProfile))</f>
        <v/>
      </c>
      <c r="N203" s="20" t="str">
        <f aca="false">IF($A203="","",INDEX(Profiles!$D$2:$D$100,MATCH($M203,Profiles!$A$2:$A$100,0)))</f>
        <v/>
      </c>
      <c r="O203" s="20" t="str">
        <f aca="false">IF($A203="","",INDEX(Profiles!$E$2:$E$100,MATCH($M203,Profiles!$A$2:$A$100,0)))</f>
        <v/>
      </c>
      <c r="P203" s="21" t="str">
        <f aca="false">IF($L203&lt;&gt;"Planned","",$K203*$D203*$N203*(1+$O203))</f>
        <v/>
      </c>
      <c r="Q203" s="21" t="str">
        <f aca="false">IF($L203&lt;&gt;"Planned","",$K203*$D203)</f>
        <v/>
      </c>
      <c r="R203" s="21" t="str">
        <f aca="false">IF($L203&lt;&gt;"Planned","",MAX(N($E203),$K203*$D203*$N203,$K203*N($G203)))</f>
        <v/>
      </c>
      <c r="S203" s="21" t="str">
        <f aca="false">IF($L203&lt;&gt;"Planned","",$P203)</f>
        <v/>
      </c>
      <c r="T203" s="21" t="str">
        <f aca="false">IF($L203&lt;&gt;"Planned","",$P203+$Q203)</f>
        <v/>
      </c>
      <c r="U203" s="21" t="str">
        <f aca="false">IF($L203&lt;&gt;"Planned","",$T203+$R203)</f>
        <v/>
      </c>
      <c r="V203" s="8" t="str">
        <f aca="false">IF($A203="","",SUMIFS('Open supply'!$C:$C,'Open supply'!$A:$A,$AF203))</f>
        <v/>
      </c>
      <c r="W203" s="8" t="str">
        <f aca="false">IF($A203="","",SUMIFS('Open supply'!$C:$C,'Open supply'!$A:$A,$AF203,'Open supply'!$B:$B,"&lt;"&amp;PlanDate))</f>
        <v/>
      </c>
      <c r="X203" s="8" t="str">
        <f aca="false">IF($A203="","",SUMIFS('Open demand'!$G:$G,'Open demand'!$A:$A,$AF203))</f>
        <v/>
      </c>
      <c r="Y203" s="8" t="str">
        <f aca="false">IF($L203&lt;&gt;"Planned","",N($H203)+$V203-$X203)</f>
        <v/>
      </c>
      <c r="Z203" s="19" t="str">
        <f aca="false">IF($L203&lt;&gt;"Planned","",IF($Y203&lt;=$S203,"Red",IF($Y203&lt;=$T203,"Yellow",IF($Y203&lt;=$U203,"Green","Above green"))))</f>
        <v/>
      </c>
      <c r="AA203" s="22" t="str">
        <f aca="false">IF(OR($L203&lt;&gt;"Planned",N($U203)&lt;=0),"",$Y203/$U203)</f>
        <v/>
      </c>
      <c r="AB203" s="8" t="str">
        <f aca="false">IF($L203&lt;&gt;"Planned","",IF($Y203&lt;=$T203,ROUNDUP(MAX($U203-$Y203,N($E203))/IF(N($F203)&gt;0,$F203,1)-0.000000001,0)*IF(N($F203)&gt;0,$F203,1),""))</f>
        <v/>
      </c>
      <c r="AC203" s="23" t="str">
        <f aca="false">IF(N($AB203)&gt;0,PlanDate+ROUNDUP($D203,0),"")</f>
        <v/>
      </c>
      <c r="AD203" s="19" t="str">
        <f aca="false">IF($L203&lt;&gt;"Planned","",IF(N($H203)&lt;=0,"Stockout",IF(N($H203)&lt;$S203*0.5,"Critical",IF(N($H203)&lt;=$S203,"Low",IF(N($H203)&gt;$U203,"Over top of green","OK")))))</f>
        <v/>
      </c>
      <c r="AE203" s="8" t="str">
        <f aca="false">IF($A203="","",$A203&amp;"")</f>
        <v/>
      </c>
      <c r="AF203" s="8" t="str">
        <f aca="false">IF($A203="","",SUBSTITUTE(SUBSTITUTE(SUBSTITUTE($A203&amp;"","~","~~"),"*","~*"),"?","~?"))</f>
        <v/>
      </c>
    </row>
    <row r="204" customFormat="false" ht="15" hidden="false" customHeight="false" outlineLevel="0" collapsed="false">
      <c r="A204" s="11"/>
      <c r="B204" s="11"/>
      <c r="C204" s="11"/>
      <c r="D204" s="16"/>
      <c r="E204" s="11"/>
      <c r="F204" s="11"/>
      <c r="G204" s="9"/>
      <c r="H204" s="11"/>
      <c r="I204" s="17"/>
      <c r="J204" s="18" t="str">
        <f aca="false">IF($A204="","",IF(COUNT(Usage!$C:$C)=0,"",MAX(0,SUMIFS(Usage!$C:$C,Usage!$A:$A,$AF204,Usage!$B:$B,"&gt;="&amp;(PlanDate-AduWindow),Usage!$B:$B,"&lt;"&amp;PlanDate))/AduWindow))</f>
        <v/>
      </c>
      <c r="K204" s="18" t="str">
        <f aca="false">IF($A204="","",IF(AND(ISNUMBER($I204),N($I204)&gt;=0),$I204,$J204))</f>
        <v/>
      </c>
      <c r="L204" s="19" t="str">
        <f aca="false">IF($A204="","",IF($K204="","Needs ADU",IF($K204&lt;=0,"No recent demand",IF(N($D204)&lt;=0,"Needs lead time","Planned"))))</f>
        <v/>
      </c>
      <c r="M204" s="8" t="str">
        <f aca="false">IF($A204="","",IF(ISNUMBER(MATCH($C204,Profiles!$A$2:$A$100,0)),$C204,DefaultProfile))</f>
        <v/>
      </c>
      <c r="N204" s="20" t="str">
        <f aca="false">IF($A204="","",INDEX(Profiles!$D$2:$D$100,MATCH($M204,Profiles!$A$2:$A$100,0)))</f>
        <v/>
      </c>
      <c r="O204" s="20" t="str">
        <f aca="false">IF($A204="","",INDEX(Profiles!$E$2:$E$100,MATCH($M204,Profiles!$A$2:$A$100,0)))</f>
        <v/>
      </c>
      <c r="P204" s="21" t="str">
        <f aca="false">IF($L204&lt;&gt;"Planned","",$K204*$D204*$N204*(1+$O204))</f>
        <v/>
      </c>
      <c r="Q204" s="21" t="str">
        <f aca="false">IF($L204&lt;&gt;"Planned","",$K204*$D204)</f>
        <v/>
      </c>
      <c r="R204" s="21" t="str">
        <f aca="false">IF($L204&lt;&gt;"Planned","",MAX(N($E204),$K204*$D204*$N204,$K204*N($G204)))</f>
        <v/>
      </c>
      <c r="S204" s="21" t="str">
        <f aca="false">IF($L204&lt;&gt;"Planned","",$P204)</f>
        <v/>
      </c>
      <c r="T204" s="21" t="str">
        <f aca="false">IF($L204&lt;&gt;"Planned","",$P204+$Q204)</f>
        <v/>
      </c>
      <c r="U204" s="21" t="str">
        <f aca="false">IF($L204&lt;&gt;"Planned","",$T204+$R204)</f>
        <v/>
      </c>
      <c r="V204" s="8" t="str">
        <f aca="false">IF($A204="","",SUMIFS('Open supply'!$C:$C,'Open supply'!$A:$A,$AF204))</f>
        <v/>
      </c>
      <c r="W204" s="8" t="str">
        <f aca="false">IF($A204="","",SUMIFS('Open supply'!$C:$C,'Open supply'!$A:$A,$AF204,'Open supply'!$B:$B,"&lt;"&amp;PlanDate))</f>
        <v/>
      </c>
      <c r="X204" s="8" t="str">
        <f aca="false">IF($A204="","",SUMIFS('Open demand'!$G:$G,'Open demand'!$A:$A,$AF204))</f>
        <v/>
      </c>
      <c r="Y204" s="8" t="str">
        <f aca="false">IF($L204&lt;&gt;"Planned","",N($H204)+$V204-$X204)</f>
        <v/>
      </c>
      <c r="Z204" s="19" t="str">
        <f aca="false">IF($L204&lt;&gt;"Planned","",IF($Y204&lt;=$S204,"Red",IF($Y204&lt;=$T204,"Yellow",IF($Y204&lt;=$U204,"Green","Above green"))))</f>
        <v/>
      </c>
      <c r="AA204" s="22" t="str">
        <f aca="false">IF(OR($L204&lt;&gt;"Planned",N($U204)&lt;=0),"",$Y204/$U204)</f>
        <v/>
      </c>
      <c r="AB204" s="8" t="str">
        <f aca="false">IF($L204&lt;&gt;"Planned","",IF($Y204&lt;=$T204,ROUNDUP(MAX($U204-$Y204,N($E204))/IF(N($F204)&gt;0,$F204,1)-0.000000001,0)*IF(N($F204)&gt;0,$F204,1),""))</f>
        <v/>
      </c>
      <c r="AC204" s="23" t="str">
        <f aca="false">IF(N($AB204)&gt;0,PlanDate+ROUNDUP($D204,0),"")</f>
        <v/>
      </c>
      <c r="AD204" s="19" t="str">
        <f aca="false">IF($L204&lt;&gt;"Planned","",IF(N($H204)&lt;=0,"Stockout",IF(N($H204)&lt;$S204*0.5,"Critical",IF(N($H204)&lt;=$S204,"Low",IF(N($H204)&gt;$U204,"Over top of green","OK")))))</f>
        <v/>
      </c>
      <c r="AE204" s="8" t="str">
        <f aca="false">IF($A204="","",$A204&amp;"")</f>
        <v/>
      </c>
      <c r="AF204" s="8" t="str">
        <f aca="false">IF($A204="","",SUBSTITUTE(SUBSTITUTE(SUBSTITUTE($A204&amp;"","~","~~"),"*","~*"),"?","~?"))</f>
        <v/>
      </c>
    </row>
    <row r="205" customFormat="false" ht="15" hidden="false" customHeight="false" outlineLevel="0" collapsed="false">
      <c r="A205" s="11"/>
      <c r="B205" s="11"/>
      <c r="C205" s="11"/>
      <c r="D205" s="16"/>
      <c r="E205" s="11"/>
      <c r="F205" s="11"/>
      <c r="G205" s="9"/>
      <c r="H205" s="11"/>
      <c r="I205" s="17"/>
      <c r="J205" s="18" t="str">
        <f aca="false">IF($A205="","",IF(COUNT(Usage!$C:$C)=0,"",MAX(0,SUMIFS(Usage!$C:$C,Usage!$A:$A,$AF205,Usage!$B:$B,"&gt;="&amp;(PlanDate-AduWindow),Usage!$B:$B,"&lt;"&amp;PlanDate))/AduWindow))</f>
        <v/>
      </c>
      <c r="K205" s="18" t="str">
        <f aca="false">IF($A205="","",IF(AND(ISNUMBER($I205),N($I205)&gt;=0),$I205,$J205))</f>
        <v/>
      </c>
      <c r="L205" s="19" t="str">
        <f aca="false">IF($A205="","",IF($K205="","Needs ADU",IF($K205&lt;=0,"No recent demand",IF(N($D205)&lt;=0,"Needs lead time","Planned"))))</f>
        <v/>
      </c>
      <c r="M205" s="8" t="str">
        <f aca="false">IF($A205="","",IF(ISNUMBER(MATCH($C205,Profiles!$A$2:$A$100,0)),$C205,DefaultProfile))</f>
        <v/>
      </c>
      <c r="N205" s="20" t="str">
        <f aca="false">IF($A205="","",INDEX(Profiles!$D$2:$D$100,MATCH($M205,Profiles!$A$2:$A$100,0)))</f>
        <v/>
      </c>
      <c r="O205" s="20" t="str">
        <f aca="false">IF($A205="","",INDEX(Profiles!$E$2:$E$100,MATCH($M205,Profiles!$A$2:$A$100,0)))</f>
        <v/>
      </c>
      <c r="P205" s="21" t="str">
        <f aca="false">IF($L205&lt;&gt;"Planned","",$K205*$D205*$N205*(1+$O205))</f>
        <v/>
      </c>
      <c r="Q205" s="21" t="str">
        <f aca="false">IF($L205&lt;&gt;"Planned","",$K205*$D205)</f>
        <v/>
      </c>
      <c r="R205" s="21" t="str">
        <f aca="false">IF($L205&lt;&gt;"Planned","",MAX(N($E205),$K205*$D205*$N205,$K205*N($G205)))</f>
        <v/>
      </c>
      <c r="S205" s="21" t="str">
        <f aca="false">IF($L205&lt;&gt;"Planned","",$P205)</f>
        <v/>
      </c>
      <c r="T205" s="21" t="str">
        <f aca="false">IF($L205&lt;&gt;"Planned","",$P205+$Q205)</f>
        <v/>
      </c>
      <c r="U205" s="21" t="str">
        <f aca="false">IF($L205&lt;&gt;"Planned","",$T205+$R205)</f>
        <v/>
      </c>
      <c r="V205" s="8" t="str">
        <f aca="false">IF($A205="","",SUMIFS('Open supply'!$C:$C,'Open supply'!$A:$A,$AF205))</f>
        <v/>
      </c>
      <c r="W205" s="8" t="str">
        <f aca="false">IF($A205="","",SUMIFS('Open supply'!$C:$C,'Open supply'!$A:$A,$AF205,'Open supply'!$B:$B,"&lt;"&amp;PlanDate))</f>
        <v/>
      </c>
      <c r="X205" s="8" t="str">
        <f aca="false">IF($A205="","",SUMIFS('Open demand'!$G:$G,'Open demand'!$A:$A,$AF205))</f>
        <v/>
      </c>
      <c r="Y205" s="8" t="str">
        <f aca="false">IF($L205&lt;&gt;"Planned","",N($H205)+$V205-$X205)</f>
        <v/>
      </c>
      <c r="Z205" s="19" t="str">
        <f aca="false">IF($L205&lt;&gt;"Planned","",IF($Y205&lt;=$S205,"Red",IF($Y205&lt;=$T205,"Yellow",IF($Y205&lt;=$U205,"Green","Above green"))))</f>
        <v/>
      </c>
      <c r="AA205" s="22" t="str">
        <f aca="false">IF(OR($L205&lt;&gt;"Planned",N($U205)&lt;=0),"",$Y205/$U205)</f>
        <v/>
      </c>
      <c r="AB205" s="8" t="str">
        <f aca="false">IF($L205&lt;&gt;"Planned","",IF($Y205&lt;=$T205,ROUNDUP(MAX($U205-$Y205,N($E205))/IF(N($F205)&gt;0,$F205,1)-0.000000001,0)*IF(N($F205)&gt;0,$F205,1),""))</f>
        <v/>
      </c>
      <c r="AC205" s="23" t="str">
        <f aca="false">IF(N($AB205)&gt;0,PlanDate+ROUNDUP($D205,0),"")</f>
        <v/>
      </c>
      <c r="AD205" s="19" t="str">
        <f aca="false">IF($L205&lt;&gt;"Planned","",IF(N($H205)&lt;=0,"Stockout",IF(N($H205)&lt;$S205*0.5,"Critical",IF(N($H205)&lt;=$S205,"Low",IF(N($H205)&gt;$U205,"Over top of green","OK")))))</f>
        <v/>
      </c>
      <c r="AE205" s="8" t="str">
        <f aca="false">IF($A205="","",$A205&amp;"")</f>
        <v/>
      </c>
      <c r="AF205" s="8" t="str">
        <f aca="false">IF($A205="","",SUBSTITUTE(SUBSTITUTE(SUBSTITUTE($A205&amp;"","~","~~"),"*","~*"),"?","~?"))</f>
        <v/>
      </c>
    </row>
    <row r="206" customFormat="false" ht="15" hidden="false" customHeight="false" outlineLevel="0" collapsed="false">
      <c r="A206" s="11"/>
      <c r="B206" s="11"/>
      <c r="C206" s="11"/>
      <c r="D206" s="16"/>
      <c r="E206" s="11"/>
      <c r="F206" s="11"/>
      <c r="G206" s="9"/>
      <c r="H206" s="11"/>
      <c r="I206" s="17"/>
      <c r="J206" s="18" t="str">
        <f aca="false">IF($A206="","",IF(COUNT(Usage!$C:$C)=0,"",MAX(0,SUMIFS(Usage!$C:$C,Usage!$A:$A,$AF206,Usage!$B:$B,"&gt;="&amp;(PlanDate-AduWindow),Usage!$B:$B,"&lt;"&amp;PlanDate))/AduWindow))</f>
        <v/>
      </c>
      <c r="K206" s="18" t="str">
        <f aca="false">IF($A206="","",IF(AND(ISNUMBER($I206),N($I206)&gt;=0),$I206,$J206))</f>
        <v/>
      </c>
      <c r="L206" s="19" t="str">
        <f aca="false">IF($A206="","",IF($K206="","Needs ADU",IF($K206&lt;=0,"No recent demand",IF(N($D206)&lt;=0,"Needs lead time","Planned"))))</f>
        <v/>
      </c>
      <c r="M206" s="8" t="str">
        <f aca="false">IF($A206="","",IF(ISNUMBER(MATCH($C206,Profiles!$A$2:$A$100,0)),$C206,DefaultProfile))</f>
        <v/>
      </c>
      <c r="N206" s="20" t="str">
        <f aca="false">IF($A206="","",INDEX(Profiles!$D$2:$D$100,MATCH($M206,Profiles!$A$2:$A$100,0)))</f>
        <v/>
      </c>
      <c r="O206" s="20" t="str">
        <f aca="false">IF($A206="","",INDEX(Profiles!$E$2:$E$100,MATCH($M206,Profiles!$A$2:$A$100,0)))</f>
        <v/>
      </c>
      <c r="P206" s="21" t="str">
        <f aca="false">IF($L206&lt;&gt;"Planned","",$K206*$D206*$N206*(1+$O206))</f>
        <v/>
      </c>
      <c r="Q206" s="21" t="str">
        <f aca="false">IF($L206&lt;&gt;"Planned","",$K206*$D206)</f>
        <v/>
      </c>
      <c r="R206" s="21" t="str">
        <f aca="false">IF($L206&lt;&gt;"Planned","",MAX(N($E206),$K206*$D206*$N206,$K206*N($G206)))</f>
        <v/>
      </c>
      <c r="S206" s="21" t="str">
        <f aca="false">IF($L206&lt;&gt;"Planned","",$P206)</f>
        <v/>
      </c>
      <c r="T206" s="21" t="str">
        <f aca="false">IF($L206&lt;&gt;"Planned","",$P206+$Q206)</f>
        <v/>
      </c>
      <c r="U206" s="21" t="str">
        <f aca="false">IF($L206&lt;&gt;"Planned","",$T206+$R206)</f>
        <v/>
      </c>
      <c r="V206" s="8" t="str">
        <f aca="false">IF($A206="","",SUMIFS('Open supply'!$C:$C,'Open supply'!$A:$A,$AF206))</f>
        <v/>
      </c>
      <c r="W206" s="8" t="str">
        <f aca="false">IF($A206="","",SUMIFS('Open supply'!$C:$C,'Open supply'!$A:$A,$AF206,'Open supply'!$B:$B,"&lt;"&amp;PlanDate))</f>
        <v/>
      </c>
      <c r="X206" s="8" t="str">
        <f aca="false">IF($A206="","",SUMIFS('Open demand'!$G:$G,'Open demand'!$A:$A,$AF206))</f>
        <v/>
      </c>
      <c r="Y206" s="8" t="str">
        <f aca="false">IF($L206&lt;&gt;"Planned","",N($H206)+$V206-$X206)</f>
        <v/>
      </c>
      <c r="Z206" s="19" t="str">
        <f aca="false">IF($L206&lt;&gt;"Planned","",IF($Y206&lt;=$S206,"Red",IF($Y206&lt;=$T206,"Yellow",IF($Y206&lt;=$U206,"Green","Above green"))))</f>
        <v/>
      </c>
      <c r="AA206" s="22" t="str">
        <f aca="false">IF(OR($L206&lt;&gt;"Planned",N($U206)&lt;=0),"",$Y206/$U206)</f>
        <v/>
      </c>
      <c r="AB206" s="8" t="str">
        <f aca="false">IF($L206&lt;&gt;"Planned","",IF($Y206&lt;=$T206,ROUNDUP(MAX($U206-$Y206,N($E206))/IF(N($F206)&gt;0,$F206,1)-0.000000001,0)*IF(N($F206)&gt;0,$F206,1),""))</f>
        <v/>
      </c>
      <c r="AC206" s="23" t="str">
        <f aca="false">IF(N($AB206)&gt;0,PlanDate+ROUNDUP($D206,0),"")</f>
        <v/>
      </c>
      <c r="AD206" s="19" t="str">
        <f aca="false">IF($L206&lt;&gt;"Planned","",IF(N($H206)&lt;=0,"Stockout",IF(N($H206)&lt;$S206*0.5,"Critical",IF(N($H206)&lt;=$S206,"Low",IF(N($H206)&gt;$U206,"Over top of green","OK")))))</f>
        <v/>
      </c>
      <c r="AE206" s="8" t="str">
        <f aca="false">IF($A206="","",$A206&amp;"")</f>
        <v/>
      </c>
      <c r="AF206" s="8" t="str">
        <f aca="false">IF($A206="","",SUBSTITUTE(SUBSTITUTE(SUBSTITUTE($A206&amp;"","~","~~"),"*","~*"),"?","~?"))</f>
        <v/>
      </c>
    </row>
    <row r="207" customFormat="false" ht="15" hidden="false" customHeight="false" outlineLevel="0" collapsed="false">
      <c r="A207" s="11"/>
      <c r="B207" s="11"/>
      <c r="C207" s="11"/>
      <c r="D207" s="16"/>
      <c r="E207" s="11"/>
      <c r="F207" s="11"/>
      <c r="G207" s="9"/>
      <c r="H207" s="11"/>
      <c r="I207" s="17"/>
      <c r="J207" s="18" t="str">
        <f aca="false">IF($A207="","",IF(COUNT(Usage!$C:$C)=0,"",MAX(0,SUMIFS(Usage!$C:$C,Usage!$A:$A,$AF207,Usage!$B:$B,"&gt;="&amp;(PlanDate-AduWindow),Usage!$B:$B,"&lt;"&amp;PlanDate))/AduWindow))</f>
        <v/>
      </c>
      <c r="K207" s="18" t="str">
        <f aca="false">IF($A207="","",IF(AND(ISNUMBER($I207),N($I207)&gt;=0),$I207,$J207))</f>
        <v/>
      </c>
      <c r="L207" s="19" t="str">
        <f aca="false">IF($A207="","",IF($K207="","Needs ADU",IF($K207&lt;=0,"No recent demand",IF(N($D207)&lt;=0,"Needs lead time","Planned"))))</f>
        <v/>
      </c>
      <c r="M207" s="8" t="str">
        <f aca="false">IF($A207="","",IF(ISNUMBER(MATCH($C207,Profiles!$A$2:$A$100,0)),$C207,DefaultProfile))</f>
        <v/>
      </c>
      <c r="N207" s="20" t="str">
        <f aca="false">IF($A207="","",INDEX(Profiles!$D$2:$D$100,MATCH($M207,Profiles!$A$2:$A$100,0)))</f>
        <v/>
      </c>
      <c r="O207" s="20" t="str">
        <f aca="false">IF($A207="","",INDEX(Profiles!$E$2:$E$100,MATCH($M207,Profiles!$A$2:$A$100,0)))</f>
        <v/>
      </c>
      <c r="P207" s="21" t="str">
        <f aca="false">IF($L207&lt;&gt;"Planned","",$K207*$D207*$N207*(1+$O207))</f>
        <v/>
      </c>
      <c r="Q207" s="21" t="str">
        <f aca="false">IF($L207&lt;&gt;"Planned","",$K207*$D207)</f>
        <v/>
      </c>
      <c r="R207" s="21" t="str">
        <f aca="false">IF($L207&lt;&gt;"Planned","",MAX(N($E207),$K207*$D207*$N207,$K207*N($G207)))</f>
        <v/>
      </c>
      <c r="S207" s="21" t="str">
        <f aca="false">IF($L207&lt;&gt;"Planned","",$P207)</f>
        <v/>
      </c>
      <c r="T207" s="21" t="str">
        <f aca="false">IF($L207&lt;&gt;"Planned","",$P207+$Q207)</f>
        <v/>
      </c>
      <c r="U207" s="21" t="str">
        <f aca="false">IF($L207&lt;&gt;"Planned","",$T207+$R207)</f>
        <v/>
      </c>
      <c r="V207" s="8" t="str">
        <f aca="false">IF($A207="","",SUMIFS('Open supply'!$C:$C,'Open supply'!$A:$A,$AF207))</f>
        <v/>
      </c>
      <c r="W207" s="8" t="str">
        <f aca="false">IF($A207="","",SUMIFS('Open supply'!$C:$C,'Open supply'!$A:$A,$AF207,'Open supply'!$B:$B,"&lt;"&amp;PlanDate))</f>
        <v/>
      </c>
      <c r="X207" s="8" t="str">
        <f aca="false">IF($A207="","",SUMIFS('Open demand'!$G:$G,'Open demand'!$A:$A,$AF207))</f>
        <v/>
      </c>
      <c r="Y207" s="8" t="str">
        <f aca="false">IF($L207&lt;&gt;"Planned","",N($H207)+$V207-$X207)</f>
        <v/>
      </c>
      <c r="Z207" s="19" t="str">
        <f aca="false">IF($L207&lt;&gt;"Planned","",IF($Y207&lt;=$S207,"Red",IF($Y207&lt;=$T207,"Yellow",IF($Y207&lt;=$U207,"Green","Above green"))))</f>
        <v/>
      </c>
      <c r="AA207" s="22" t="str">
        <f aca="false">IF(OR($L207&lt;&gt;"Planned",N($U207)&lt;=0),"",$Y207/$U207)</f>
        <v/>
      </c>
      <c r="AB207" s="8" t="str">
        <f aca="false">IF($L207&lt;&gt;"Planned","",IF($Y207&lt;=$T207,ROUNDUP(MAX($U207-$Y207,N($E207))/IF(N($F207)&gt;0,$F207,1)-0.000000001,0)*IF(N($F207)&gt;0,$F207,1),""))</f>
        <v/>
      </c>
      <c r="AC207" s="23" t="str">
        <f aca="false">IF(N($AB207)&gt;0,PlanDate+ROUNDUP($D207,0),"")</f>
        <v/>
      </c>
      <c r="AD207" s="19" t="str">
        <f aca="false">IF($L207&lt;&gt;"Planned","",IF(N($H207)&lt;=0,"Stockout",IF(N($H207)&lt;$S207*0.5,"Critical",IF(N($H207)&lt;=$S207,"Low",IF(N($H207)&gt;$U207,"Over top of green","OK")))))</f>
        <v/>
      </c>
      <c r="AE207" s="8" t="str">
        <f aca="false">IF($A207="","",$A207&amp;"")</f>
        <v/>
      </c>
      <c r="AF207" s="8" t="str">
        <f aca="false">IF($A207="","",SUBSTITUTE(SUBSTITUTE(SUBSTITUTE($A207&amp;"","~","~~"),"*","~*"),"?","~?"))</f>
        <v/>
      </c>
    </row>
    <row r="208" customFormat="false" ht="15" hidden="false" customHeight="false" outlineLevel="0" collapsed="false">
      <c r="A208" s="11"/>
      <c r="B208" s="11"/>
      <c r="C208" s="11"/>
      <c r="D208" s="16"/>
      <c r="E208" s="11"/>
      <c r="F208" s="11"/>
      <c r="G208" s="9"/>
      <c r="H208" s="11"/>
      <c r="I208" s="17"/>
      <c r="J208" s="18" t="str">
        <f aca="false">IF($A208="","",IF(COUNT(Usage!$C:$C)=0,"",MAX(0,SUMIFS(Usage!$C:$C,Usage!$A:$A,$AF208,Usage!$B:$B,"&gt;="&amp;(PlanDate-AduWindow),Usage!$B:$B,"&lt;"&amp;PlanDate))/AduWindow))</f>
        <v/>
      </c>
      <c r="K208" s="18" t="str">
        <f aca="false">IF($A208="","",IF(AND(ISNUMBER($I208),N($I208)&gt;=0),$I208,$J208))</f>
        <v/>
      </c>
      <c r="L208" s="19" t="str">
        <f aca="false">IF($A208="","",IF($K208="","Needs ADU",IF($K208&lt;=0,"No recent demand",IF(N($D208)&lt;=0,"Needs lead time","Planned"))))</f>
        <v/>
      </c>
      <c r="M208" s="8" t="str">
        <f aca="false">IF($A208="","",IF(ISNUMBER(MATCH($C208,Profiles!$A$2:$A$100,0)),$C208,DefaultProfile))</f>
        <v/>
      </c>
      <c r="N208" s="20" t="str">
        <f aca="false">IF($A208="","",INDEX(Profiles!$D$2:$D$100,MATCH($M208,Profiles!$A$2:$A$100,0)))</f>
        <v/>
      </c>
      <c r="O208" s="20" t="str">
        <f aca="false">IF($A208="","",INDEX(Profiles!$E$2:$E$100,MATCH($M208,Profiles!$A$2:$A$100,0)))</f>
        <v/>
      </c>
      <c r="P208" s="21" t="str">
        <f aca="false">IF($L208&lt;&gt;"Planned","",$K208*$D208*$N208*(1+$O208))</f>
        <v/>
      </c>
      <c r="Q208" s="21" t="str">
        <f aca="false">IF($L208&lt;&gt;"Planned","",$K208*$D208)</f>
        <v/>
      </c>
      <c r="R208" s="21" t="str">
        <f aca="false">IF($L208&lt;&gt;"Planned","",MAX(N($E208),$K208*$D208*$N208,$K208*N($G208)))</f>
        <v/>
      </c>
      <c r="S208" s="21" t="str">
        <f aca="false">IF($L208&lt;&gt;"Planned","",$P208)</f>
        <v/>
      </c>
      <c r="T208" s="21" t="str">
        <f aca="false">IF($L208&lt;&gt;"Planned","",$P208+$Q208)</f>
        <v/>
      </c>
      <c r="U208" s="21" t="str">
        <f aca="false">IF($L208&lt;&gt;"Planned","",$T208+$R208)</f>
        <v/>
      </c>
      <c r="V208" s="8" t="str">
        <f aca="false">IF($A208="","",SUMIFS('Open supply'!$C:$C,'Open supply'!$A:$A,$AF208))</f>
        <v/>
      </c>
      <c r="W208" s="8" t="str">
        <f aca="false">IF($A208="","",SUMIFS('Open supply'!$C:$C,'Open supply'!$A:$A,$AF208,'Open supply'!$B:$B,"&lt;"&amp;PlanDate))</f>
        <v/>
      </c>
      <c r="X208" s="8" t="str">
        <f aca="false">IF($A208="","",SUMIFS('Open demand'!$G:$G,'Open demand'!$A:$A,$AF208))</f>
        <v/>
      </c>
      <c r="Y208" s="8" t="str">
        <f aca="false">IF($L208&lt;&gt;"Planned","",N($H208)+$V208-$X208)</f>
        <v/>
      </c>
      <c r="Z208" s="19" t="str">
        <f aca="false">IF($L208&lt;&gt;"Planned","",IF($Y208&lt;=$S208,"Red",IF($Y208&lt;=$T208,"Yellow",IF($Y208&lt;=$U208,"Green","Above green"))))</f>
        <v/>
      </c>
      <c r="AA208" s="22" t="str">
        <f aca="false">IF(OR($L208&lt;&gt;"Planned",N($U208)&lt;=0),"",$Y208/$U208)</f>
        <v/>
      </c>
      <c r="AB208" s="8" t="str">
        <f aca="false">IF($L208&lt;&gt;"Planned","",IF($Y208&lt;=$T208,ROUNDUP(MAX($U208-$Y208,N($E208))/IF(N($F208)&gt;0,$F208,1)-0.000000001,0)*IF(N($F208)&gt;0,$F208,1),""))</f>
        <v/>
      </c>
      <c r="AC208" s="23" t="str">
        <f aca="false">IF(N($AB208)&gt;0,PlanDate+ROUNDUP($D208,0),"")</f>
        <v/>
      </c>
      <c r="AD208" s="19" t="str">
        <f aca="false">IF($L208&lt;&gt;"Planned","",IF(N($H208)&lt;=0,"Stockout",IF(N($H208)&lt;$S208*0.5,"Critical",IF(N($H208)&lt;=$S208,"Low",IF(N($H208)&gt;$U208,"Over top of green","OK")))))</f>
        <v/>
      </c>
      <c r="AE208" s="8" t="str">
        <f aca="false">IF($A208="","",$A208&amp;"")</f>
        <v/>
      </c>
      <c r="AF208" s="8" t="str">
        <f aca="false">IF($A208="","",SUBSTITUTE(SUBSTITUTE(SUBSTITUTE($A208&amp;"","~","~~"),"*","~*"),"?","~?"))</f>
        <v/>
      </c>
    </row>
    <row r="209" customFormat="false" ht="15" hidden="false" customHeight="false" outlineLevel="0" collapsed="false">
      <c r="A209" s="11"/>
      <c r="B209" s="11"/>
      <c r="C209" s="11"/>
      <c r="D209" s="16"/>
      <c r="E209" s="11"/>
      <c r="F209" s="11"/>
      <c r="G209" s="9"/>
      <c r="H209" s="11"/>
      <c r="I209" s="17"/>
      <c r="J209" s="18" t="str">
        <f aca="false">IF($A209="","",IF(COUNT(Usage!$C:$C)=0,"",MAX(0,SUMIFS(Usage!$C:$C,Usage!$A:$A,$AF209,Usage!$B:$B,"&gt;="&amp;(PlanDate-AduWindow),Usage!$B:$B,"&lt;"&amp;PlanDate))/AduWindow))</f>
        <v/>
      </c>
      <c r="K209" s="18" t="str">
        <f aca="false">IF($A209="","",IF(AND(ISNUMBER($I209),N($I209)&gt;=0),$I209,$J209))</f>
        <v/>
      </c>
      <c r="L209" s="19" t="str">
        <f aca="false">IF($A209="","",IF($K209="","Needs ADU",IF($K209&lt;=0,"No recent demand",IF(N($D209)&lt;=0,"Needs lead time","Planned"))))</f>
        <v/>
      </c>
      <c r="M209" s="8" t="str">
        <f aca="false">IF($A209="","",IF(ISNUMBER(MATCH($C209,Profiles!$A$2:$A$100,0)),$C209,DefaultProfile))</f>
        <v/>
      </c>
      <c r="N209" s="20" t="str">
        <f aca="false">IF($A209="","",INDEX(Profiles!$D$2:$D$100,MATCH($M209,Profiles!$A$2:$A$100,0)))</f>
        <v/>
      </c>
      <c r="O209" s="20" t="str">
        <f aca="false">IF($A209="","",INDEX(Profiles!$E$2:$E$100,MATCH($M209,Profiles!$A$2:$A$100,0)))</f>
        <v/>
      </c>
      <c r="P209" s="21" t="str">
        <f aca="false">IF($L209&lt;&gt;"Planned","",$K209*$D209*$N209*(1+$O209))</f>
        <v/>
      </c>
      <c r="Q209" s="21" t="str">
        <f aca="false">IF($L209&lt;&gt;"Planned","",$K209*$D209)</f>
        <v/>
      </c>
      <c r="R209" s="21" t="str">
        <f aca="false">IF($L209&lt;&gt;"Planned","",MAX(N($E209),$K209*$D209*$N209,$K209*N($G209)))</f>
        <v/>
      </c>
      <c r="S209" s="21" t="str">
        <f aca="false">IF($L209&lt;&gt;"Planned","",$P209)</f>
        <v/>
      </c>
      <c r="T209" s="21" t="str">
        <f aca="false">IF($L209&lt;&gt;"Planned","",$P209+$Q209)</f>
        <v/>
      </c>
      <c r="U209" s="21" t="str">
        <f aca="false">IF($L209&lt;&gt;"Planned","",$T209+$R209)</f>
        <v/>
      </c>
      <c r="V209" s="8" t="str">
        <f aca="false">IF($A209="","",SUMIFS('Open supply'!$C:$C,'Open supply'!$A:$A,$AF209))</f>
        <v/>
      </c>
      <c r="W209" s="8" t="str">
        <f aca="false">IF($A209="","",SUMIFS('Open supply'!$C:$C,'Open supply'!$A:$A,$AF209,'Open supply'!$B:$B,"&lt;"&amp;PlanDate))</f>
        <v/>
      </c>
      <c r="X209" s="8" t="str">
        <f aca="false">IF($A209="","",SUMIFS('Open demand'!$G:$G,'Open demand'!$A:$A,$AF209))</f>
        <v/>
      </c>
      <c r="Y209" s="8" t="str">
        <f aca="false">IF($L209&lt;&gt;"Planned","",N($H209)+$V209-$X209)</f>
        <v/>
      </c>
      <c r="Z209" s="19" t="str">
        <f aca="false">IF($L209&lt;&gt;"Planned","",IF($Y209&lt;=$S209,"Red",IF($Y209&lt;=$T209,"Yellow",IF($Y209&lt;=$U209,"Green","Above green"))))</f>
        <v/>
      </c>
      <c r="AA209" s="22" t="str">
        <f aca="false">IF(OR($L209&lt;&gt;"Planned",N($U209)&lt;=0),"",$Y209/$U209)</f>
        <v/>
      </c>
      <c r="AB209" s="8" t="str">
        <f aca="false">IF($L209&lt;&gt;"Planned","",IF($Y209&lt;=$T209,ROUNDUP(MAX($U209-$Y209,N($E209))/IF(N($F209)&gt;0,$F209,1)-0.000000001,0)*IF(N($F209)&gt;0,$F209,1),""))</f>
        <v/>
      </c>
      <c r="AC209" s="23" t="str">
        <f aca="false">IF(N($AB209)&gt;0,PlanDate+ROUNDUP($D209,0),"")</f>
        <v/>
      </c>
      <c r="AD209" s="19" t="str">
        <f aca="false">IF($L209&lt;&gt;"Planned","",IF(N($H209)&lt;=0,"Stockout",IF(N($H209)&lt;$S209*0.5,"Critical",IF(N($H209)&lt;=$S209,"Low",IF(N($H209)&gt;$U209,"Over top of green","OK")))))</f>
        <v/>
      </c>
      <c r="AE209" s="8" t="str">
        <f aca="false">IF($A209="","",$A209&amp;"")</f>
        <v/>
      </c>
      <c r="AF209" s="8" t="str">
        <f aca="false">IF($A209="","",SUBSTITUTE(SUBSTITUTE(SUBSTITUTE($A209&amp;"","~","~~"),"*","~*"),"?","~?"))</f>
        <v/>
      </c>
    </row>
    <row r="210" customFormat="false" ht="15" hidden="false" customHeight="false" outlineLevel="0" collapsed="false">
      <c r="A210" s="11"/>
      <c r="B210" s="11"/>
      <c r="C210" s="11"/>
      <c r="D210" s="16"/>
      <c r="E210" s="11"/>
      <c r="F210" s="11"/>
      <c r="G210" s="9"/>
      <c r="H210" s="11"/>
      <c r="I210" s="17"/>
      <c r="J210" s="18" t="str">
        <f aca="false">IF($A210="","",IF(COUNT(Usage!$C:$C)=0,"",MAX(0,SUMIFS(Usage!$C:$C,Usage!$A:$A,$AF210,Usage!$B:$B,"&gt;="&amp;(PlanDate-AduWindow),Usage!$B:$B,"&lt;"&amp;PlanDate))/AduWindow))</f>
        <v/>
      </c>
      <c r="K210" s="18" t="str">
        <f aca="false">IF($A210="","",IF(AND(ISNUMBER($I210),N($I210)&gt;=0),$I210,$J210))</f>
        <v/>
      </c>
      <c r="L210" s="19" t="str">
        <f aca="false">IF($A210="","",IF($K210="","Needs ADU",IF($K210&lt;=0,"No recent demand",IF(N($D210)&lt;=0,"Needs lead time","Planned"))))</f>
        <v/>
      </c>
      <c r="M210" s="8" t="str">
        <f aca="false">IF($A210="","",IF(ISNUMBER(MATCH($C210,Profiles!$A$2:$A$100,0)),$C210,DefaultProfile))</f>
        <v/>
      </c>
      <c r="N210" s="20" t="str">
        <f aca="false">IF($A210="","",INDEX(Profiles!$D$2:$D$100,MATCH($M210,Profiles!$A$2:$A$100,0)))</f>
        <v/>
      </c>
      <c r="O210" s="20" t="str">
        <f aca="false">IF($A210="","",INDEX(Profiles!$E$2:$E$100,MATCH($M210,Profiles!$A$2:$A$100,0)))</f>
        <v/>
      </c>
      <c r="P210" s="21" t="str">
        <f aca="false">IF($L210&lt;&gt;"Planned","",$K210*$D210*$N210*(1+$O210))</f>
        <v/>
      </c>
      <c r="Q210" s="21" t="str">
        <f aca="false">IF($L210&lt;&gt;"Planned","",$K210*$D210)</f>
        <v/>
      </c>
      <c r="R210" s="21" t="str">
        <f aca="false">IF($L210&lt;&gt;"Planned","",MAX(N($E210),$K210*$D210*$N210,$K210*N($G210)))</f>
        <v/>
      </c>
      <c r="S210" s="21" t="str">
        <f aca="false">IF($L210&lt;&gt;"Planned","",$P210)</f>
        <v/>
      </c>
      <c r="T210" s="21" t="str">
        <f aca="false">IF($L210&lt;&gt;"Planned","",$P210+$Q210)</f>
        <v/>
      </c>
      <c r="U210" s="21" t="str">
        <f aca="false">IF($L210&lt;&gt;"Planned","",$T210+$R210)</f>
        <v/>
      </c>
      <c r="V210" s="8" t="str">
        <f aca="false">IF($A210="","",SUMIFS('Open supply'!$C:$C,'Open supply'!$A:$A,$AF210))</f>
        <v/>
      </c>
      <c r="W210" s="8" t="str">
        <f aca="false">IF($A210="","",SUMIFS('Open supply'!$C:$C,'Open supply'!$A:$A,$AF210,'Open supply'!$B:$B,"&lt;"&amp;PlanDate))</f>
        <v/>
      </c>
      <c r="X210" s="8" t="str">
        <f aca="false">IF($A210="","",SUMIFS('Open demand'!$G:$G,'Open demand'!$A:$A,$AF210))</f>
        <v/>
      </c>
      <c r="Y210" s="8" t="str">
        <f aca="false">IF($L210&lt;&gt;"Planned","",N($H210)+$V210-$X210)</f>
        <v/>
      </c>
      <c r="Z210" s="19" t="str">
        <f aca="false">IF($L210&lt;&gt;"Planned","",IF($Y210&lt;=$S210,"Red",IF($Y210&lt;=$T210,"Yellow",IF($Y210&lt;=$U210,"Green","Above green"))))</f>
        <v/>
      </c>
      <c r="AA210" s="22" t="str">
        <f aca="false">IF(OR($L210&lt;&gt;"Planned",N($U210)&lt;=0),"",$Y210/$U210)</f>
        <v/>
      </c>
      <c r="AB210" s="8" t="str">
        <f aca="false">IF($L210&lt;&gt;"Planned","",IF($Y210&lt;=$T210,ROUNDUP(MAX($U210-$Y210,N($E210))/IF(N($F210)&gt;0,$F210,1)-0.000000001,0)*IF(N($F210)&gt;0,$F210,1),""))</f>
        <v/>
      </c>
      <c r="AC210" s="23" t="str">
        <f aca="false">IF(N($AB210)&gt;0,PlanDate+ROUNDUP($D210,0),"")</f>
        <v/>
      </c>
      <c r="AD210" s="19" t="str">
        <f aca="false">IF($L210&lt;&gt;"Planned","",IF(N($H210)&lt;=0,"Stockout",IF(N($H210)&lt;$S210*0.5,"Critical",IF(N($H210)&lt;=$S210,"Low",IF(N($H210)&gt;$U210,"Over top of green","OK")))))</f>
        <v/>
      </c>
      <c r="AE210" s="8" t="str">
        <f aca="false">IF($A210="","",$A210&amp;"")</f>
        <v/>
      </c>
      <c r="AF210" s="8" t="str">
        <f aca="false">IF($A210="","",SUBSTITUTE(SUBSTITUTE(SUBSTITUTE($A210&amp;"","~","~~"),"*","~*"),"?","~?"))</f>
        <v/>
      </c>
    </row>
    <row r="211" customFormat="false" ht="15" hidden="false" customHeight="false" outlineLevel="0" collapsed="false">
      <c r="A211" s="11"/>
      <c r="B211" s="11"/>
      <c r="C211" s="11"/>
      <c r="D211" s="16"/>
      <c r="E211" s="11"/>
      <c r="F211" s="11"/>
      <c r="G211" s="9"/>
      <c r="H211" s="11"/>
      <c r="I211" s="17"/>
      <c r="J211" s="18" t="str">
        <f aca="false">IF($A211="","",IF(COUNT(Usage!$C:$C)=0,"",MAX(0,SUMIFS(Usage!$C:$C,Usage!$A:$A,$AF211,Usage!$B:$B,"&gt;="&amp;(PlanDate-AduWindow),Usage!$B:$B,"&lt;"&amp;PlanDate))/AduWindow))</f>
        <v/>
      </c>
      <c r="K211" s="18" t="str">
        <f aca="false">IF($A211="","",IF(AND(ISNUMBER($I211),N($I211)&gt;=0),$I211,$J211))</f>
        <v/>
      </c>
      <c r="L211" s="19" t="str">
        <f aca="false">IF($A211="","",IF($K211="","Needs ADU",IF($K211&lt;=0,"No recent demand",IF(N($D211)&lt;=0,"Needs lead time","Planned"))))</f>
        <v/>
      </c>
      <c r="M211" s="8" t="str">
        <f aca="false">IF($A211="","",IF(ISNUMBER(MATCH($C211,Profiles!$A$2:$A$100,0)),$C211,DefaultProfile))</f>
        <v/>
      </c>
      <c r="N211" s="20" t="str">
        <f aca="false">IF($A211="","",INDEX(Profiles!$D$2:$D$100,MATCH($M211,Profiles!$A$2:$A$100,0)))</f>
        <v/>
      </c>
      <c r="O211" s="20" t="str">
        <f aca="false">IF($A211="","",INDEX(Profiles!$E$2:$E$100,MATCH($M211,Profiles!$A$2:$A$100,0)))</f>
        <v/>
      </c>
      <c r="P211" s="21" t="str">
        <f aca="false">IF($L211&lt;&gt;"Planned","",$K211*$D211*$N211*(1+$O211))</f>
        <v/>
      </c>
      <c r="Q211" s="21" t="str">
        <f aca="false">IF($L211&lt;&gt;"Planned","",$K211*$D211)</f>
        <v/>
      </c>
      <c r="R211" s="21" t="str">
        <f aca="false">IF($L211&lt;&gt;"Planned","",MAX(N($E211),$K211*$D211*$N211,$K211*N($G211)))</f>
        <v/>
      </c>
      <c r="S211" s="21" t="str">
        <f aca="false">IF($L211&lt;&gt;"Planned","",$P211)</f>
        <v/>
      </c>
      <c r="T211" s="21" t="str">
        <f aca="false">IF($L211&lt;&gt;"Planned","",$P211+$Q211)</f>
        <v/>
      </c>
      <c r="U211" s="21" t="str">
        <f aca="false">IF($L211&lt;&gt;"Planned","",$T211+$R211)</f>
        <v/>
      </c>
      <c r="V211" s="8" t="str">
        <f aca="false">IF($A211="","",SUMIFS('Open supply'!$C:$C,'Open supply'!$A:$A,$AF211))</f>
        <v/>
      </c>
      <c r="W211" s="8" t="str">
        <f aca="false">IF($A211="","",SUMIFS('Open supply'!$C:$C,'Open supply'!$A:$A,$AF211,'Open supply'!$B:$B,"&lt;"&amp;PlanDate))</f>
        <v/>
      </c>
      <c r="X211" s="8" t="str">
        <f aca="false">IF($A211="","",SUMIFS('Open demand'!$G:$G,'Open demand'!$A:$A,$AF211))</f>
        <v/>
      </c>
      <c r="Y211" s="8" t="str">
        <f aca="false">IF($L211&lt;&gt;"Planned","",N($H211)+$V211-$X211)</f>
        <v/>
      </c>
      <c r="Z211" s="19" t="str">
        <f aca="false">IF($L211&lt;&gt;"Planned","",IF($Y211&lt;=$S211,"Red",IF($Y211&lt;=$T211,"Yellow",IF($Y211&lt;=$U211,"Green","Above green"))))</f>
        <v/>
      </c>
      <c r="AA211" s="22" t="str">
        <f aca="false">IF(OR($L211&lt;&gt;"Planned",N($U211)&lt;=0),"",$Y211/$U211)</f>
        <v/>
      </c>
      <c r="AB211" s="8" t="str">
        <f aca="false">IF($L211&lt;&gt;"Planned","",IF($Y211&lt;=$T211,ROUNDUP(MAX($U211-$Y211,N($E211))/IF(N($F211)&gt;0,$F211,1)-0.000000001,0)*IF(N($F211)&gt;0,$F211,1),""))</f>
        <v/>
      </c>
      <c r="AC211" s="23" t="str">
        <f aca="false">IF(N($AB211)&gt;0,PlanDate+ROUNDUP($D211,0),"")</f>
        <v/>
      </c>
      <c r="AD211" s="19" t="str">
        <f aca="false">IF($L211&lt;&gt;"Planned","",IF(N($H211)&lt;=0,"Stockout",IF(N($H211)&lt;$S211*0.5,"Critical",IF(N($H211)&lt;=$S211,"Low",IF(N($H211)&gt;$U211,"Over top of green","OK")))))</f>
        <v/>
      </c>
      <c r="AE211" s="8" t="str">
        <f aca="false">IF($A211="","",$A211&amp;"")</f>
        <v/>
      </c>
      <c r="AF211" s="8" t="str">
        <f aca="false">IF($A211="","",SUBSTITUTE(SUBSTITUTE(SUBSTITUTE($A211&amp;"","~","~~"),"*","~*"),"?","~?"))</f>
        <v/>
      </c>
    </row>
    <row r="212" customFormat="false" ht="15" hidden="false" customHeight="false" outlineLevel="0" collapsed="false">
      <c r="A212" s="11"/>
      <c r="B212" s="11"/>
      <c r="C212" s="11"/>
      <c r="D212" s="16"/>
      <c r="E212" s="11"/>
      <c r="F212" s="11"/>
      <c r="G212" s="9"/>
      <c r="H212" s="11"/>
      <c r="I212" s="17"/>
      <c r="J212" s="18" t="str">
        <f aca="false">IF($A212="","",IF(COUNT(Usage!$C:$C)=0,"",MAX(0,SUMIFS(Usage!$C:$C,Usage!$A:$A,$AF212,Usage!$B:$B,"&gt;="&amp;(PlanDate-AduWindow),Usage!$B:$B,"&lt;"&amp;PlanDate))/AduWindow))</f>
        <v/>
      </c>
      <c r="K212" s="18" t="str">
        <f aca="false">IF($A212="","",IF(AND(ISNUMBER($I212),N($I212)&gt;=0),$I212,$J212))</f>
        <v/>
      </c>
      <c r="L212" s="19" t="str">
        <f aca="false">IF($A212="","",IF($K212="","Needs ADU",IF($K212&lt;=0,"No recent demand",IF(N($D212)&lt;=0,"Needs lead time","Planned"))))</f>
        <v/>
      </c>
      <c r="M212" s="8" t="str">
        <f aca="false">IF($A212="","",IF(ISNUMBER(MATCH($C212,Profiles!$A$2:$A$100,0)),$C212,DefaultProfile))</f>
        <v/>
      </c>
      <c r="N212" s="20" t="str">
        <f aca="false">IF($A212="","",INDEX(Profiles!$D$2:$D$100,MATCH($M212,Profiles!$A$2:$A$100,0)))</f>
        <v/>
      </c>
      <c r="O212" s="20" t="str">
        <f aca="false">IF($A212="","",INDEX(Profiles!$E$2:$E$100,MATCH($M212,Profiles!$A$2:$A$100,0)))</f>
        <v/>
      </c>
      <c r="P212" s="21" t="str">
        <f aca="false">IF($L212&lt;&gt;"Planned","",$K212*$D212*$N212*(1+$O212))</f>
        <v/>
      </c>
      <c r="Q212" s="21" t="str">
        <f aca="false">IF($L212&lt;&gt;"Planned","",$K212*$D212)</f>
        <v/>
      </c>
      <c r="R212" s="21" t="str">
        <f aca="false">IF($L212&lt;&gt;"Planned","",MAX(N($E212),$K212*$D212*$N212,$K212*N($G212)))</f>
        <v/>
      </c>
      <c r="S212" s="21" t="str">
        <f aca="false">IF($L212&lt;&gt;"Planned","",$P212)</f>
        <v/>
      </c>
      <c r="T212" s="21" t="str">
        <f aca="false">IF($L212&lt;&gt;"Planned","",$P212+$Q212)</f>
        <v/>
      </c>
      <c r="U212" s="21" t="str">
        <f aca="false">IF($L212&lt;&gt;"Planned","",$T212+$R212)</f>
        <v/>
      </c>
      <c r="V212" s="8" t="str">
        <f aca="false">IF($A212="","",SUMIFS('Open supply'!$C:$C,'Open supply'!$A:$A,$AF212))</f>
        <v/>
      </c>
      <c r="W212" s="8" t="str">
        <f aca="false">IF($A212="","",SUMIFS('Open supply'!$C:$C,'Open supply'!$A:$A,$AF212,'Open supply'!$B:$B,"&lt;"&amp;PlanDate))</f>
        <v/>
      </c>
      <c r="X212" s="8" t="str">
        <f aca="false">IF($A212="","",SUMIFS('Open demand'!$G:$G,'Open demand'!$A:$A,$AF212))</f>
        <v/>
      </c>
      <c r="Y212" s="8" t="str">
        <f aca="false">IF($L212&lt;&gt;"Planned","",N($H212)+$V212-$X212)</f>
        <v/>
      </c>
      <c r="Z212" s="19" t="str">
        <f aca="false">IF($L212&lt;&gt;"Planned","",IF($Y212&lt;=$S212,"Red",IF($Y212&lt;=$T212,"Yellow",IF($Y212&lt;=$U212,"Green","Above green"))))</f>
        <v/>
      </c>
      <c r="AA212" s="22" t="str">
        <f aca="false">IF(OR($L212&lt;&gt;"Planned",N($U212)&lt;=0),"",$Y212/$U212)</f>
        <v/>
      </c>
      <c r="AB212" s="8" t="str">
        <f aca="false">IF($L212&lt;&gt;"Planned","",IF($Y212&lt;=$T212,ROUNDUP(MAX($U212-$Y212,N($E212))/IF(N($F212)&gt;0,$F212,1)-0.000000001,0)*IF(N($F212)&gt;0,$F212,1),""))</f>
        <v/>
      </c>
      <c r="AC212" s="23" t="str">
        <f aca="false">IF(N($AB212)&gt;0,PlanDate+ROUNDUP($D212,0),"")</f>
        <v/>
      </c>
      <c r="AD212" s="19" t="str">
        <f aca="false">IF($L212&lt;&gt;"Planned","",IF(N($H212)&lt;=0,"Stockout",IF(N($H212)&lt;$S212*0.5,"Critical",IF(N($H212)&lt;=$S212,"Low",IF(N($H212)&gt;$U212,"Over top of green","OK")))))</f>
        <v/>
      </c>
      <c r="AE212" s="8" t="str">
        <f aca="false">IF($A212="","",$A212&amp;"")</f>
        <v/>
      </c>
      <c r="AF212" s="8" t="str">
        <f aca="false">IF($A212="","",SUBSTITUTE(SUBSTITUTE(SUBSTITUTE($A212&amp;"","~","~~"),"*","~*"),"?","~?"))</f>
        <v/>
      </c>
    </row>
    <row r="213" customFormat="false" ht="15" hidden="false" customHeight="false" outlineLevel="0" collapsed="false">
      <c r="A213" s="11"/>
      <c r="B213" s="11"/>
      <c r="C213" s="11"/>
      <c r="D213" s="16"/>
      <c r="E213" s="11"/>
      <c r="F213" s="11"/>
      <c r="G213" s="9"/>
      <c r="H213" s="11"/>
      <c r="I213" s="17"/>
      <c r="J213" s="18" t="str">
        <f aca="false">IF($A213="","",IF(COUNT(Usage!$C:$C)=0,"",MAX(0,SUMIFS(Usage!$C:$C,Usage!$A:$A,$AF213,Usage!$B:$B,"&gt;="&amp;(PlanDate-AduWindow),Usage!$B:$B,"&lt;"&amp;PlanDate))/AduWindow))</f>
        <v/>
      </c>
      <c r="K213" s="18" t="str">
        <f aca="false">IF($A213="","",IF(AND(ISNUMBER($I213),N($I213)&gt;=0),$I213,$J213))</f>
        <v/>
      </c>
      <c r="L213" s="19" t="str">
        <f aca="false">IF($A213="","",IF($K213="","Needs ADU",IF($K213&lt;=0,"No recent demand",IF(N($D213)&lt;=0,"Needs lead time","Planned"))))</f>
        <v/>
      </c>
      <c r="M213" s="8" t="str">
        <f aca="false">IF($A213="","",IF(ISNUMBER(MATCH($C213,Profiles!$A$2:$A$100,0)),$C213,DefaultProfile))</f>
        <v/>
      </c>
      <c r="N213" s="20" t="str">
        <f aca="false">IF($A213="","",INDEX(Profiles!$D$2:$D$100,MATCH($M213,Profiles!$A$2:$A$100,0)))</f>
        <v/>
      </c>
      <c r="O213" s="20" t="str">
        <f aca="false">IF($A213="","",INDEX(Profiles!$E$2:$E$100,MATCH($M213,Profiles!$A$2:$A$100,0)))</f>
        <v/>
      </c>
      <c r="P213" s="21" t="str">
        <f aca="false">IF($L213&lt;&gt;"Planned","",$K213*$D213*$N213*(1+$O213))</f>
        <v/>
      </c>
      <c r="Q213" s="21" t="str">
        <f aca="false">IF($L213&lt;&gt;"Planned","",$K213*$D213)</f>
        <v/>
      </c>
      <c r="R213" s="21" t="str">
        <f aca="false">IF($L213&lt;&gt;"Planned","",MAX(N($E213),$K213*$D213*$N213,$K213*N($G213)))</f>
        <v/>
      </c>
      <c r="S213" s="21" t="str">
        <f aca="false">IF($L213&lt;&gt;"Planned","",$P213)</f>
        <v/>
      </c>
      <c r="T213" s="21" t="str">
        <f aca="false">IF($L213&lt;&gt;"Planned","",$P213+$Q213)</f>
        <v/>
      </c>
      <c r="U213" s="21" t="str">
        <f aca="false">IF($L213&lt;&gt;"Planned","",$T213+$R213)</f>
        <v/>
      </c>
      <c r="V213" s="8" t="str">
        <f aca="false">IF($A213="","",SUMIFS('Open supply'!$C:$C,'Open supply'!$A:$A,$AF213))</f>
        <v/>
      </c>
      <c r="W213" s="8" t="str">
        <f aca="false">IF($A213="","",SUMIFS('Open supply'!$C:$C,'Open supply'!$A:$A,$AF213,'Open supply'!$B:$B,"&lt;"&amp;PlanDate))</f>
        <v/>
      </c>
      <c r="X213" s="8" t="str">
        <f aca="false">IF($A213="","",SUMIFS('Open demand'!$G:$G,'Open demand'!$A:$A,$AF213))</f>
        <v/>
      </c>
      <c r="Y213" s="8" t="str">
        <f aca="false">IF($L213&lt;&gt;"Planned","",N($H213)+$V213-$X213)</f>
        <v/>
      </c>
      <c r="Z213" s="19" t="str">
        <f aca="false">IF($L213&lt;&gt;"Planned","",IF($Y213&lt;=$S213,"Red",IF($Y213&lt;=$T213,"Yellow",IF($Y213&lt;=$U213,"Green","Above green"))))</f>
        <v/>
      </c>
      <c r="AA213" s="22" t="str">
        <f aca="false">IF(OR($L213&lt;&gt;"Planned",N($U213)&lt;=0),"",$Y213/$U213)</f>
        <v/>
      </c>
      <c r="AB213" s="8" t="str">
        <f aca="false">IF($L213&lt;&gt;"Planned","",IF($Y213&lt;=$T213,ROUNDUP(MAX($U213-$Y213,N($E213))/IF(N($F213)&gt;0,$F213,1)-0.000000001,0)*IF(N($F213)&gt;0,$F213,1),""))</f>
        <v/>
      </c>
      <c r="AC213" s="23" t="str">
        <f aca="false">IF(N($AB213)&gt;0,PlanDate+ROUNDUP($D213,0),"")</f>
        <v/>
      </c>
      <c r="AD213" s="19" t="str">
        <f aca="false">IF($L213&lt;&gt;"Planned","",IF(N($H213)&lt;=0,"Stockout",IF(N($H213)&lt;$S213*0.5,"Critical",IF(N($H213)&lt;=$S213,"Low",IF(N($H213)&gt;$U213,"Over top of green","OK")))))</f>
        <v/>
      </c>
      <c r="AE213" s="8" t="str">
        <f aca="false">IF($A213="","",$A213&amp;"")</f>
        <v/>
      </c>
      <c r="AF213" s="8" t="str">
        <f aca="false">IF($A213="","",SUBSTITUTE(SUBSTITUTE(SUBSTITUTE($A213&amp;"","~","~~"),"*","~*"),"?","~?"))</f>
        <v/>
      </c>
    </row>
    <row r="214" customFormat="false" ht="15" hidden="false" customHeight="false" outlineLevel="0" collapsed="false">
      <c r="A214" s="11"/>
      <c r="B214" s="11"/>
      <c r="C214" s="11"/>
      <c r="D214" s="16"/>
      <c r="E214" s="11"/>
      <c r="F214" s="11"/>
      <c r="G214" s="9"/>
      <c r="H214" s="11"/>
      <c r="I214" s="17"/>
      <c r="J214" s="18" t="str">
        <f aca="false">IF($A214="","",IF(COUNT(Usage!$C:$C)=0,"",MAX(0,SUMIFS(Usage!$C:$C,Usage!$A:$A,$AF214,Usage!$B:$B,"&gt;="&amp;(PlanDate-AduWindow),Usage!$B:$B,"&lt;"&amp;PlanDate))/AduWindow))</f>
        <v/>
      </c>
      <c r="K214" s="18" t="str">
        <f aca="false">IF($A214="","",IF(AND(ISNUMBER($I214),N($I214)&gt;=0),$I214,$J214))</f>
        <v/>
      </c>
      <c r="L214" s="19" t="str">
        <f aca="false">IF($A214="","",IF($K214="","Needs ADU",IF($K214&lt;=0,"No recent demand",IF(N($D214)&lt;=0,"Needs lead time","Planned"))))</f>
        <v/>
      </c>
      <c r="M214" s="8" t="str">
        <f aca="false">IF($A214="","",IF(ISNUMBER(MATCH($C214,Profiles!$A$2:$A$100,0)),$C214,DefaultProfile))</f>
        <v/>
      </c>
      <c r="N214" s="20" t="str">
        <f aca="false">IF($A214="","",INDEX(Profiles!$D$2:$D$100,MATCH($M214,Profiles!$A$2:$A$100,0)))</f>
        <v/>
      </c>
      <c r="O214" s="20" t="str">
        <f aca="false">IF($A214="","",INDEX(Profiles!$E$2:$E$100,MATCH($M214,Profiles!$A$2:$A$100,0)))</f>
        <v/>
      </c>
      <c r="P214" s="21" t="str">
        <f aca="false">IF($L214&lt;&gt;"Planned","",$K214*$D214*$N214*(1+$O214))</f>
        <v/>
      </c>
      <c r="Q214" s="21" t="str">
        <f aca="false">IF($L214&lt;&gt;"Planned","",$K214*$D214)</f>
        <v/>
      </c>
      <c r="R214" s="21" t="str">
        <f aca="false">IF($L214&lt;&gt;"Planned","",MAX(N($E214),$K214*$D214*$N214,$K214*N($G214)))</f>
        <v/>
      </c>
      <c r="S214" s="21" t="str">
        <f aca="false">IF($L214&lt;&gt;"Planned","",$P214)</f>
        <v/>
      </c>
      <c r="T214" s="21" t="str">
        <f aca="false">IF($L214&lt;&gt;"Planned","",$P214+$Q214)</f>
        <v/>
      </c>
      <c r="U214" s="21" t="str">
        <f aca="false">IF($L214&lt;&gt;"Planned","",$T214+$R214)</f>
        <v/>
      </c>
      <c r="V214" s="8" t="str">
        <f aca="false">IF($A214="","",SUMIFS('Open supply'!$C:$C,'Open supply'!$A:$A,$AF214))</f>
        <v/>
      </c>
      <c r="W214" s="8" t="str">
        <f aca="false">IF($A214="","",SUMIFS('Open supply'!$C:$C,'Open supply'!$A:$A,$AF214,'Open supply'!$B:$B,"&lt;"&amp;PlanDate))</f>
        <v/>
      </c>
      <c r="X214" s="8" t="str">
        <f aca="false">IF($A214="","",SUMIFS('Open demand'!$G:$G,'Open demand'!$A:$A,$AF214))</f>
        <v/>
      </c>
      <c r="Y214" s="8" t="str">
        <f aca="false">IF($L214&lt;&gt;"Planned","",N($H214)+$V214-$X214)</f>
        <v/>
      </c>
      <c r="Z214" s="19" t="str">
        <f aca="false">IF($L214&lt;&gt;"Planned","",IF($Y214&lt;=$S214,"Red",IF($Y214&lt;=$T214,"Yellow",IF($Y214&lt;=$U214,"Green","Above green"))))</f>
        <v/>
      </c>
      <c r="AA214" s="22" t="str">
        <f aca="false">IF(OR($L214&lt;&gt;"Planned",N($U214)&lt;=0),"",$Y214/$U214)</f>
        <v/>
      </c>
      <c r="AB214" s="8" t="str">
        <f aca="false">IF($L214&lt;&gt;"Planned","",IF($Y214&lt;=$T214,ROUNDUP(MAX($U214-$Y214,N($E214))/IF(N($F214)&gt;0,$F214,1)-0.000000001,0)*IF(N($F214)&gt;0,$F214,1),""))</f>
        <v/>
      </c>
      <c r="AC214" s="23" t="str">
        <f aca="false">IF(N($AB214)&gt;0,PlanDate+ROUNDUP($D214,0),"")</f>
        <v/>
      </c>
      <c r="AD214" s="19" t="str">
        <f aca="false">IF($L214&lt;&gt;"Planned","",IF(N($H214)&lt;=0,"Stockout",IF(N($H214)&lt;$S214*0.5,"Critical",IF(N($H214)&lt;=$S214,"Low",IF(N($H214)&gt;$U214,"Over top of green","OK")))))</f>
        <v/>
      </c>
      <c r="AE214" s="8" t="str">
        <f aca="false">IF($A214="","",$A214&amp;"")</f>
        <v/>
      </c>
      <c r="AF214" s="8" t="str">
        <f aca="false">IF($A214="","",SUBSTITUTE(SUBSTITUTE(SUBSTITUTE($A214&amp;"","~","~~"),"*","~*"),"?","~?"))</f>
        <v/>
      </c>
    </row>
    <row r="215" customFormat="false" ht="15" hidden="false" customHeight="false" outlineLevel="0" collapsed="false">
      <c r="A215" s="11"/>
      <c r="B215" s="11"/>
      <c r="C215" s="11"/>
      <c r="D215" s="16"/>
      <c r="E215" s="11"/>
      <c r="F215" s="11"/>
      <c r="G215" s="9"/>
      <c r="H215" s="11"/>
      <c r="I215" s="17"/>
      <c r="J215" s="18" t="str">
        <f aca="false">IF($A215="","",IF(COUNT(Usage!$C:$C)=0,"",MAX(0,SUMIFS(Usage!$C:$C,Usage!$A:$A,$AF215,Usage!$B:$B,"&gt;="&amp;(PlanDate-AduWindow),Usage!$B:$B,"&lt;"&amp;PlanDate))/AduWindow))</f>
        <v/>
      </c>
      <c r="K215" s="18" t="str">
        <f aca="false">IF($A215="","",IF(AND(ISNUMBER($I215),N($I215)&gt;=0),$I215,$J215))</f>
        <v/>
      </c>
      <c r="L215" s="19" t="str">
        <f aca="false">IF($A215="","",IF($K215="","Needs ADU",IF($K215&lt;=0,"No recent demand",IF(N($D215)&lt;=0,"Needs lead time","Planned"))))</f>
        <v/>
      </c>
      <c r="M215" s="8" t="str">
        <f aca="false">IF($A215="","",IF(ISNUMBER(MATCH($C215,Profiles!$A$2:$A$100,0)),$C215,DefaultProfile))</f>
        <v/>
      </c>
      <c r="N215" s="20" t="str">
        <f aca="false">IF($A215="","",INDEX(Profiles!$D$2:$D$100,MATCH($M215,Profiles!$A$2:$A$100,0)))</f>
        <v/>
      </c>
      <c r="O215" s="20" t="str">
        <f aca="false">IF($A215="","",INDEX(Profiles!$E$2:$E$100,MATCH($M215,Profiles!$A$2:$A$100,0)))</f>
        <v/>
      </c>
      <c r="P215" s="21" t="str">
        <f aca="false">IF($L215&lt;&gt;"Planned","",$K215*$D215*$N215*(1+$O215))</f>
        <v/>
      </c>
      <c r="Q215" s="21" t="str">
        <f aca="false">IF($L215&lt;&gt;"Planned","",$K215*$D215)</f>
        <v/>
      </c>
      <c r="R215" s="21" t="str">
        <f aca="false">IF($L215&lt;&gt;"Planned","",MAX(N($E215),$K215*$D215*$N215,$K215*N($G215)))</f>
        <v/>
      </c>
      <c r="S215" s="21" t="str">
        <f aca="false">IF($L215&lt;&gt;"Planned","",$P215)</f>
        <v/>
      </c>
      <c r="T215" s="21" t="str">
        <f aca="false">IF($L215&lt;&gt;"Planned","",$P215+$Q215)</f>
        <v/>
      </c>
      <c r="U215" s="21" t="str">
        <f aca="false">IF($L215&lt;&gt;"Planned","",$T215+$R215)</f>
        <v/>
      </c>
      <c r="V215" s="8" t="str">
        <f aca="false">IF($A215="","",SUMIFS('Open supply'!$C:$C,'Open supply'!$A:$A,$AF215))</f>
        <v/>
      </c>
      <c r="W215" s="8" t="str">
        <f aca="false">IF($A215="","",SUMIFS('Open supply'!$C:$C,'Open supply'!$A:$A,$AF215,'Open supply'!$B:$B,"&lt;"&amp;PlanDate))</f>
        <v/>
      </c>
      <c r="X215" s="8" t="str">
        <f aca="false">IF($A215="","",SUMIFS('Open demand'!$G:$G,'Open demand'!$A:$A,$AF215))</f>
        <v/>
      </c>
      <c r="Y215" s="8" t="str">
        <f aca="false">IF($L215&lt;&gt;"Planned","",N($H215)+$V215-$X215)</f>
        <v/>
      </c>
      <c r="Z215" s="19" t="str">
        <f aca="false">IF($L215&lt;&gt;"Planned","",IF($Y215&lt;=$S215,"Red",IF($Y215&lt;=$T215,"Yellow",IF($Y215&lt;=$U215,"Green","Above green"))))</f>
        <v/>
      </c>
      <c r="AA215" s="22" t="str">
        <f aca="false">IF(OR($L215&lt;&gt;"Planned",N($U215)&lt;=0),"",$Y215/$U215)</f>
        <v/>
      </c>
      <c r="AB215" s="8" t="str">
        <f aca="false">IF($L215&lt;&gt;"Planned","",IF($Y215&lt;=$T215,ROUNDUP(MAX($U215-$Y215,N($E215))/IF(N($F215)&gt;0,$F215,1)-0.000000001,0)*IF(N($F215)&gt;0,$F215,1),""))</f>
        <v/>
      </c>
      <c r="AC215" s="23" t="str">
        <f aca="false">IF(N($AB215)&gt;0,PlanDate+ROUNDUP($D215,0),"")</f>
        <v/>
      </c>
      <c r="AD215" s="19" t="str">
        <f aca="false">IF($L215&lt;&gt;"Planned","",IF(N($H215)&lt;=0,"Stockout",IF(N($H215)&lt;$S215*0.5,"Critical",IF(N($H215)&lt;=$S215,"Low",IF(N($H215)&gt;$U215,"Over top of green","OK")))))</f>
        <v/>
      </c>
      <c r="AE215" s="8" t="str">
        <f aca="false">IF($A215="","",$A215&amp;"")</f>
        <v/>
      </c>
      <c r="AF215" s="8" t="str">
        <f aca="false">IF($A215="","",SUBSTITUTE(SUBSTITUTE(SUBSTITUTE($A215&amp;"","~","~~"),"*","~*"),"?","~?"))</f>
        <v/>
      </c>
    </row>
    <row r="216" customFormat="false" ht="15" hidden="false" customHeight="false" outlineLevel="0" collapsed="false">
      <c r="A216" s="11"/>
      <c r="B216" s="11"/>
      <c r="C216" s="11"/>
      <c r="D216" s="16"/>
      <c r="E216" s="11"/>
      <c r="F216" s="11"/>
      <c r="G216" s="9"/>
      <c r="H216" s="11"/>
      <c r="I216" s="17"/>
      <c r="J216" s="18" t="str">
        <f aca="false">IF($A216="","",IF(COUNT(Usage!$C:$C)=0,"",MAX(0,SUMIFS(Usage!$C:$C,Usage!$A:$A,$AF216,Usage!$B:$B,"&gt;="&amp;(PlanDate-AduWindow),Usage!$B:$B,"&lt;"&amp;PlanDate))/AduWindow))</f>
        <v/>
      </c>
      <c r="K216" s="18" t="str">
        <f aca="false">IF($A216="","",IF(AND(ISNUMBER($I216),N($I216)&gt;=0),$I216,$J216))</f>
        <v/>
      </c>
      <c r="L216" s="19" t="str">
        <f aca="false">IF($A216="","",IF($K216="","Needs ADU",IF($K216&lt;=0,"No recent demand",IF(N($D216)&lt;=0,"Needs lead time","Planned"))))</f>
        <v/>
      </c>
      <c r="M216" s="8" t="str">
        <f aca="false">IF($A216="","",IF(ISNUMBER(MATCH($C216,Profiles!$A$2:$A$100,0)),$C216,DefaultProfile))</f>
        <v/>
      </c>
      <c r="N216" s="20" t="str">
        <f aca="false">IF($A216="","",INDEX(Profiles!$D$2:$D$100,MATCH($M216,Profiles!$A$2:$A$100,0)))</f>
        <v/>
      </c>
      <c r="O216" s="20" t="str">
        <f aca="false">IF($A216="","",INDEX(Profiles!$E$2:$E$100,MATCH($M216,Profiles!$A$2:$A$100,0)))</f>
        <v/>
      </c>
      <c r="P216" s="21" t="str">
        <f aca="false">IF($L216&lt;&gt;"Planned","",$K216*$D216*$N216*(1+$O216))</f>
        <v/>
      </c>
      <c r="Q216" s="21" t="str">
        <f aca="false">IF($L216&lt;&gt;"Planned","",$K216*$D216)</f>
        <v/>
      </c>
      <c r="R216" s="21" t="str">
        <f aca="false">IF($L216&lt;&gt;"Planned","",MAX(N($E216),$K216*$D216*$N216,$K216*N($G216)))</f>
        <v/>
      </c>
      <c r="S216" s="21" t="str">
        <f aca="false">IF($L216&lt;&gt;"Planned","",$P216)</f>
        <v/>
      </c>
      <c r="T216" s="21" t="str">
        <f aca="false">IF($L216&lt;&gt;"Planned","",$P216+$Q216)</f>
        <v/>
      </c>
      <c r="U216" s="21" t="str">
        <f aca="false">IF($L216&lt;&gt;"Planned","",$T216+$R216)</f>
        <v/>
      </c>
      <c r="V216" s="8" t="str">
        <f aca="false">IF($A216="","",SUMIFS('Open supply'!$C:$C,'Open supply'!$A:$A,$AF216))</f>
        <v/>
      </c>
      <c r="W216" s="8" t="str">
        <f aca="false">IF($A216="","",SUMIFS('Open supply'!$C:$C,'Open supply'!$A:$A,$AF216,'Open supply'!$B:$B,"&lt;"&amp;PlanDate))</f>
        <v/>
      </c>
      <c r="X216" s="8" t="str">
        <f aca="false">IF($A216="","",SUMIFS('Open demand'!$G:$G,'Open demand'!$A:$A,$AF216))</f>
        <v/>
      </c>
      <c r="Y216" s="8" t="str">
        <f aca="false">IF($L216&lt;&gt;"Planned","",N($H216)+$V216-$X216)</f>
        <v/>
      </c>
      <c r="Z216" s="19" t="str">
        <f aca="false">IF($L216&lt;&gt;"Planned","",IF($Y216&lt;=$S216,"Red",IF($Y216&lt;=$T216,"Yellow",IF($Y216&lt;=$U216,"Green","Above green"))))</f>
        <v/>
      </c>
      <c r="AA216" s="22" t="str">
        <f aca="false">IF(OR($L216&lt;&gt;"Planned",N($U216)&lt;=0),"",$Y216/$U216)</f>
        <v/>
      </c>
      <c r="AB216" s="8" t="str">
        <f aca="false">IF($L216&lt;&gt;"Planned","",IF($Y216&lt;=$T216,ROUNDUP(MAX($U216-$Y216,N($E216))/IF(N($F216)&gt;0,$F216,1)-0.000000001,0)*IF(N($F216)&gt;0,$F216,1),""))</f>
        <v/>
      </c>
      <c r="AC216" s="23" t="str">
        <f aca="false">IF(N($AB216)&gt;0,PlanDate+ROUNDUP($D216,0),"")</f>
        <v/>
      </c>
      <c r="AD216" s="19" t="str">
        <f aca="false">IF($L216&lt;&gt;"Planned","",IF(N($H216)&lt;=0,"Stockout",IF(N($H216)&lt;$S216*0.5,"Critical",IF(N($H216)&lt;=$S216,"Low",IF(N($H216)&gt;$U216,"Over top of green","OK")))))</f>
        <v/>
      </c>
      <c r="AE216" s="8" t="str">
        <f aca="false">IF($A216="","",$A216&amp;"")</f>
        <v/>
      </c>
      <c r="AF216" s="8" t="str">
        <f aca="false">IF($A216="","",SUBSTITUTE(SUBSTITUTE(SUBSTITUTE($A216&amp;"","~","~~"),"*","~*"),"?","~?"))</f>
        <v/>
      </c>
    </row>
    <row r="217" customFormat="false" ht="15" hidden="false" customHeight="false" outlineLevel="0" collapsed="false">
      <c r="A217" s="11"/>
      <c r="B217" s="11"/>
      <c r="C217" s="11"/>
      <c r="D217" s="16"/>
      <c r="E217" s="11"/>
      <c r="F217" s="11"/>
      <c r="G217" s="9"/>
      <c r="H217" s="11"/>
      <c r="I217" s="17"/>
      <c r="J217" s="18" t="str">
        <f aca="false">IF($A217="","",IF(COUNT(Usage!$C:$C)=0,"",MAX(0,SUMIFS(Usage!$C:$C,Usage!$A:$A,$AF217,Usage!$B:$B,"&gt;="&amp;(PlanDate-AduWindow),Usage!$B:$B,"&lt;"&amp;PlanDate))/AduWindow))</f>
        <v/>
      </c>
      <c r="K217" s="18" t="str">
        <f aca="false">IF($A217="","",IF(AND(ISNUMBER($I217),N($I217)&gt;=0),$I217,$J217))</f>
        <v/>
      </c>
      <c r="L217" s="19" t="str">
        <f aca="false">IF($A217="","",IF($K217="","Needs ADU",IF($K217&lt;=0,"No recent demand",IF(N($D217)&lt;=0,"Needs lead time","Planned"))))</f>
        <v/>
      </c>
      <c r="M217" s="8" t="str">
        <f aca="false">IF($A217="","",IF(ISNUMBER(MATCH($C217,Profiles!$A$2:$A$100,0)),$C217,DefaultProfile))</f>
        <v/>
      </c>
      <c r="N217" s="20" t="str">
        <f aca="false">IF($A217="","",INDEX(Profiles!$D$2:$D$100,MATCH($M217,Profiles!$A$2:$A$100,0)))</f>
        <v/>
      </c>
      <c r="O217" s="20" t="str">
        <f aca="false">IF($A217="","",INDEX(Profiles!$E$2:$E$100,MATCH($M217,Profiles!$A$2:$A$100,0)))</f>
        <v/>
      </c>
      <c r="P217" s="21" t="str">
        <f aca="false">IF($L217&lt;&gt;"Planned","",$K217*$D217*$N217*(1+$O217))</f>
        <v/>
      </c>
      <c r="Q217" s="21" t="str">
        <f aca="false">IF($L217&lt;&gt;"Planned","",$K217*$D217)</f>
        <v/>
      </c>
      <c r="R217" s="21" t="str">
        <f aca="false">IF($L217&lt;&gt;"Planned","",MAX(N($E217),$K217*$D217*$N217,$K217*N($G217)))</f>
        <v/>
      </c>
      <c r="S217" s="21" t="str">
        <f aca="false">IF($L217&lt;&gt;"Planned","",$P217)</f>
        <v/>
      </c>
      <c r="T217" s="21" t="str">
        <f aca="false">IF($L217&lt;&gt;"Planned","",$P217+$Q217)</f>
        <v/>
      </c>
      <c r="U217" s="21" t="str">
        <f aca="false">IF($L217&lt;&gt;"Planned","",$T217+$R217)</f>
        <v/>
      </c>
      <c r="V217" s="8" t="str">
        <f aca="false">IF($A217="","",SUMIFS('Open supply'!$C:$C,'Open supply'!$A:$A,$AF217))</f>
        <v/>
      </c>
      <c r="W217" s="8" t="str">
        <f aca="false">IF($A217="","",SUMIFS('Open supply'!$C:$C,'Open supply'!$A:$A,$AF217,'Open supply'!$B:$B,"&lt;"&amp;PlanDate))</f>
        <v/>
      </c>
      <c r="X217" s="8" t="str">
        <f aca="false">IF($A217="","",SUMIFS('Open demand'!$G:$G,'Open demand'!$A:$A,$AF217))</f>
        <v/>
      </c>
      <c r="Y217" s="8" t="str">
        <f aca="false">IF($L217&lt;&gt;"Planned","",N($H217)+$V217-$X217)</f>
        <v/>
      </c>
      <c r="Z217" s="19" t="str">
        <f aca="false">IF($L217&lt;&gt;"Planned","",IF($Y217&lt;=$S217,"Red",IF($Y217&lt;=$T217,"Yellow",IF($Y217&lt;=$U217,"Green","Above green"))))</f>
        <v/>
      </c>
      <c r="AA217" s="22" t="str">
        <f aca="false">IF(OR($L217&lt;&gt;"Planned",N($U217)&lt;=0),"",$Y217/$U217)</f>
        <v/>
      </c>
      <c r="AB217" s="8" t="str">
        <f aca="false">IF($L217&lt;&gt;"Planned","",IF($Y217&lt;=$T217,ROUNDUP(MAX($U217-$Y217,N($E217))/IF(N($F217)&gt;0,$F217,1)-0.000000001,0)*IF(N($F217)&gt;0,$F217,1),""))</f>
        <v/>
      </c>
      <c r="AC217" s="23" t="str">
        <f aca="false">IF(N($AB217)&gt;0,PlanDate+ROUNDUP($D217,0),"")</f>
        <v/>
      </c>
      <c r="AD217" s="19" t="str">
        <f aca="false">IF($L217&lt;&gt;"Planned","",IF(N($H217)&lt;=0,"Stockout",IF(N($H217)&lt;$S217*0.5,"Critical",IF(N($H217)&lt;=$S217,"Low",IF(N($H217)&gt;$U217,"Over top of green","OK")))))</f>
        <v/>
      </c>
      <c r="AE217" s="8" t="str">
        <f aca="false">IF($A217="","",$A217&amp;"")</f>
        <v/>
      </c>
      <c r="AF217" s="8" t="str">
        <f aca="false">IF($A217="","",SUBSTITUTE(SUBSTITUTE(SUBSTITUTE($A217&amp;"","~","~~"),"*","~*"),"?","~?"))</f>
        <v/>
      </c>
    </row>
    <row r="218" customFormat="false" ht="15" hidden="false" customHeight="false" outlineLevel="0" collapsed="false">
      <c r="A218" s="11"/>
      <c r="B218" s="11"/>
      <c r="C218" s="11"/>
      <c r="D218" s="16"/>
      <c r="E218" s="11"/>
      <c r="F218" s="11"/>
      <c r="G218" s="9"/>
      <c r="H218" s="11"/>
      <c r="I218" s="17"/>
      <c r="J218" s="18" t="str">
        <f aca="false">IF($A218="","",IF(COUNT(Usage!$C:$C)=0,"",MAX(0,SUMIFS(Usage!$C:$C,Usage!$A:$A,$AF218,Usage!$B:$B,"&gt;="&amp;(PlanDate-AduWindow),Usage!$B:$B,"&lt;"&amp;PlanDate))/AduWindow))</f>
        <v/>
      </c>
      <c r="K218" s="18" t="str">
        <f aca="false">IF($A218="","",IF(AND(ISNUMBER($I218),N($I218)&gt;=0),$I218,$J218))</f>
        <v/>
      </c>
      <c r="L218" s="19" t="str">
        <f aca="false">IF($A218="","",IF($K218="","Needs ADU",IF($K218&lt;=0,"No recent demand",IF(N($D218)&lt;=0,"Needs lead time","Planned"))))</f>
        <v/>
      </c>
      <c r="M218" s="8" t="str">
        <f aca="false">IF($A218="","",IF(ISNUMBER(MATCH($C218,Profiles!$A$2:$A$100,0)),$C218,DefaultProfile))</f>
        <v/>
      </c>
      <c r="N218" s="20" t="str">
        <f aca="false">IF($A218="","",INDEX(Profiles!$D$2:$D$100,MATCH($M218,Profiles!$A$2:$A$100,0)))</f>
        <v/>
      </c>
      <c r="O218" s="20" t="str">
        <f aca="false">IF($A218="","",INDEX(Profiles!$E$2:$E$100,MATCH($M218,Profiles!$A$2:$A$100,0)))</f>
        <v/>
      </c>
      <c r="P218" s="21" t="str">
        <f aca="false">IF($L218&lt;&gt;"Planned","",$K218*$D218*$N218*(1+$O218))</f>
        <v/>
      </c>
      <c r="Q218" s="21" t="str">
        <f aca="false">IF($L218&lt;&gt;"Planned","",$K218*$D218)</f>
        <v/>
      </c>
      <c r="R218" s="21" t="str">
        <f aca="false">IF($L218&lt;&gt;"Planned","",MAX(N($E218),$K218*$D218*$N218,$K218*N($G218)))</f>
        <v/>
      </c>
      <c r="S218" s="21" t="str">
        <f aca="false">IF($L218&lt;&gt;"Planned","",$P218)</f>
        <v/>
      </c>
      <c r="T218" s="21" t="str">
        <f aca="false">IF($L218&lt;&gt;"Planned","",$P218+$Q218)</f>
        <v/>
      </c>
      <c r="U218" s="21" t="str">
        <f aca="false">IF($L218&lt;&gt;"Planned","",$T218+$R218)</f>
        <v/>
      </c>
      <c r="V218" s="8" t="str">
        <f aca="false">IF($A218="","",SUMIFS('Open supply'!$C:$C,'Open supply'!$A:$A,$AF218))</f>
        <v/>
      </c>
      <c r="W218" s="8" t="str">
        <f aca="false">IF($A218="","",SUMIFS('Open supply'!$C:$C,'Open supply'!$A:$A,$AF218,'Open supply'!$B:$B,"&lt;"&amp;PlanDate))</f>
        <v/>
      </c>
      <c r="X218" s="8" t="str">
        <f aca="false">IF($A218="","",SUMIFS('Open demand'!$G:$G,'Open demand'!$A:$A,$AF218))</f>
        <v/>
      </c>
      <c r="Y218" s="8" t="str">
        <f aca="false">IF($L218&lt;&gt;"Planned","",N($H218)+$V218-$X218)</f>
        <v/>
      </c>
      <c r="Z218" s="19" t="str">
        <f aca="false">IF($L218&lt;&gt;"Planned","",IF($Y218&lt;=$S218,"Red",IF($Y218&lt;=$T218,"Yellow",IF($Y218&lt;=$U218,"Green","Above green"))))</f>
        <v/>
      </c>
      <c r="AA218" s="22" t="str">
        <f aca="false">IF(OR($L218&lt;&gt;"Planned",N($U218)&lt;=0),"",$Y218/$U218)</f>
        <v/>
      </c>
      <c r="AB218" s="8" t="str">
        <f aca="false">IF($L218&lt;&gt;"Planned","",IF($Y218&lt;=$T218,ROUNDUP(MAX($U218-$Y218,N($E218))/IF(N($F218)&gt;0,$F218,1)-0.000000001,0)*IF(N($F218)&gt;0,$F218,1),""))</f>
        <v/>
      </c>
      <c r="AC218" s="23" t="str">
        <f aca="false">IF(N($AB218)&gt;0,PlanDate+ROUNDUP($D218,0),"")</f>
        <v/>
      </c>
      <c r="AD218" s="19" t="str">
        <f aca="false">IF($L218&lt;&gt;"Planned","",IF(N($H218)&lt;=0,"Stockout",IF(N($H218)&lt;$S218*0.5,"Critical",IF(N($H218)&lt;=$S218,"Low",IF(N($H218)&gt;$U218,"Over top of green","OK")))))</f>
        <v/>
      </c>
      <c r="AE218" s="8" t="str">
        <f aca="false">IF($A218="","",$A218&amp;"")</f>
        <v/>
      </c>
      <c r="AF218" s="8" t="str">
        <f aca="false">IF($A218="","",SUBSTITUTE(SUBSTITUTE(SUBSTITUTE($A218&amp;"","~","~~"),"*","~*"),"?","~?"))</f>
        <v/>
      </c>
    </row>
    <row r="219" customFormat="false" ht="15" hidden="false" customHeight="false" outlineLevel="0" collapsed="false">
      <c r="A219" s="11"/>
      <c r="B219" s="11"/>
      <c r="C219" s="11"/>
      <c r="D219" s="16"/>
      <c r="E219" s="11"/>
      <c r="F219" s="11"/>
      <c r="G219" s="9"/>
      <c r="H219" s="11"/>
      <c r="I219" s="17"/>
      <c r="J219" s="18" t="str">
        <f aca="false">IF($A219="","",IF(COUNT(Usage!$C:$C)=0,"",MAX(0,SUMIFS(Usage!$C:$C,Usage!$A:$A,$AF219,Usage!$B:$B,"&gt;="&amp;(PlanDate-AduWindow),Usage!$B:$B,"&lt;"&amp;PlanDate))/AduWindow))</f>
        <v/>
      </c>
      <c r="K219" s="18" t="str">
        <f aca="false">IF($A219="","",IF(AND(ISNUMBER($I219),N($I219)&gt;=0),$I219,$J219))</f>
        <v/>
      </c>
      <c r="L219" s="19" t="str">
        <f aca="false">IF($A219="","",IF($K219="","Needs ADU",IF($K219&lt;=0,"No recent demand",IF(N($D219)&lt;=0,"Needs lead time","Planned"))))</f>
        <v/>
      </c>
      <c r="M219" s="8" t="str">
        <f aca="false">IF($A219="","",IF(ISNUMBER(MATCH($C219,Profiles!$A$2:$A$100,0)),$C219,DefaultProfile))</f>
        <v/>
      </c>
      <c r="N219" s="20" t="str">
        <f aca="false">IF($A219="","",INDEX(Profiles!$D$2:$D$100,MATCH($M219,Profiles!$A$2:$A$100,0)))</f>
        <v/>
      </c>
      <c r="O219" s="20" t="str">
        <f aca="false">IF($A219="","",INDEX(Profiles!$E$2:$E$100,MATCH($M219,Profiles!$A$2:$A$100,0)))</f>
        <v/>
      </c>
      <c r="P219" s="21" t="str">
        <f aca="false">IF($L219&lt;&gt;"Planned","",$K219*$D219*$N219*(1+$O219))</f>
        <v/>
      </c>
      <c r="Q219" s="21" t="str">
        <f aca="false">IF($L219&lt;&gt;"Planned","",$K219*$D219)</f>
        <v/>
      </c>
      <c r="R219" s="21" t="str">
        <f aca="false">IF($L219&lt;&gt;"Planned","",MAX(N($E219),$K219*$D219*$N219,$K219*N($G219)))</f>
        <v/>
      </c>
      <c r="S219" s="21" t="str">
        <f aca="false">IF($L219&lt;&gt;"Planned","",$P219)</f>
        <v/>
      </c>
      <c r="T219" s="21" t="str">
        <f aca="false">IF($L219&lt;&gt;"Planned","",$P219+$Q219)</f>
        <v/>
      </c>
      <c r="U219" s="21" t="str">
        <f aca="false">IF($L219&lt;&gt;"Planned","",$T219+$R219)</f>
        <v/>
      </c>
      <c r="V219" s="8" t="str">
        <f aca="false">IF($A219="","",SUMIFS('Open supply'!$C:$C,'Open supply'!$A:$A,$AF219))</f>
        <v/>
      </c>
      <c r="W219" s="8" t="str">
        <f aca="false">IF($A219="","",SUMIFS('Open supply'!$C:$C,'Open supply'!$A:$A,$AF219,'Open supply'!$B:$B,"&lt;"&amp;PlanDate))</f>
        <v/>
      </c>
      <c r="X219" s="8" t="str">
        <f aca="false">IF($A219="","",SUMIFS('Open demand'!$G:$G,'Open demand'!$A:$A,$AF219))</f>
        <v/>
      </c>
      <c r="Y219" s="8" t="str">
        <f aca="false">IF($L219&lt;&gt;"Planned","",N($H219)+$V219-$X219)</f>
        <v/>
      </c>
      <c r="Z219" s="19" t="str">
        <f aca="false">IF($L219&lt;&gt;"Planned","",IF($Y219&lt;=$S219,"Red",IF($Y219&lt;=$T219,"Yellow",IF($Y219&lt;=$U219,"Green","Above green"))))</f>
        <v/>
      </c>
      <c r="AA219" s="22" t="str">
        <f aca="false">IF(OR($L219&lt;&gt;"Planned",N($U219)&lt;=0),"",$Y219/$U219)</f>
        <v/>
      </c>
      <c r="AB219" s="8" t="str">
        <f aca="false">IF($L219&lt;&gt;"Planned","",IF($Y219&lt;=$T219,ROUNDUP(MAX($U219-$Y219,N($E219))/IF(N($F219)&gt;0,$F219,1)-0.000000001,0)*IF(N($F219)&gt;0,$F219,1),""))</f>
        <v/>
      </c>
      <c r="AC219" s="23" t="str">
        <f aca="false">IF(N($AB219)&gt;0,PlanDate+ROUNDUP($D219,0),"")</f>
        <v/>
      </c>
      <c r="AD219" s="19" t="str">
        <f aca="false">IF($L219&lt;&gt;"Planned","",IF(N($H219)&lt;=0,"Stockout",IF(N($H219)&lt;$S219*0.5,"Critical",IF(N($H219)&lt;=$S219,"Low",IF(N($H219)&gt;$U219,"Over top of green","OK")))))</f>
        <v/>
      </c>
      <c r="AE219" s="8" t="str">
        <f aca="false">IF($A219="","",$A219&amp;"")</f>
        <v/>
      </c>
      <c r="AF219" s="8" t="str">
        <f aca="false">IF($A219="","",SUBSTITUTE(SUBSTITUTE(SUBSTITUTE($A219&amp;"","~","~~"),"*","~*"),"?","~?"))</f>
        <v/>
      </c>
    </row>
    <row r="220" customFormat="false" ht="15" hidden="false" customHeight="false" outlineLevel="0" collapsed="false">
      <c r="A220" s="11"/>
      <c r="B220" s="11"/>
      <c r="C220" s="11"/>
      <c r="D220" s="16"/>
      <c r="E220" s="11"/>
      <c r="F220" s="11"/>
      <c r="G220" s="9"/>
      <c r="H220" s="11"/>
      <c r="I220" s="17"/>
      <c r="J220" s="18" t="str">
        <f aca="false">IF($A220="","",IF(COUNT(Usage!$C:$C)=0,"",MAX(0,SUMIFS(Usage!$C:$C,Usage!$A:$A,$AF220,Usage!$B:$B,"&gt;="&amp;(PlanDate-AduWindow),Usage!$B:$B,"&lt;"&amp;PlanDate))/AduWindow))</f>
        <v/>
      </c>
      <c r="K220" s="18" t="str">
        <f aca="false">IF($A220="","",IF(AND(ISNUMBER($I220),N($I220)&gt;=0),$I220,$J220))</f>
        <v/>
      </c>
      <c r="L220" s="19" t="str">
        <f aca="false">IF($A220="","",IF($K220="","Needs ADU",IF($K220&lt;=0,"No recent demand",IF(N($D220)&lt;=0,"Needs lead time","Planned"))))</f>
        <v/>
      </c>
      <c r="M220" s="8" t="str">
        <f aca="false">IF($A220="","",IF(ISNUMBER(MATCH($C220,Profiles!$A$2:$A$100,0)),$C220,DefaultProfile))</f>
        <v/>
      </c>
      <c r="N220" s="20" t="str">
        <f aca="false">IF($A220="","",INDEX(Profiles!$D$2:$D$100,MATCH($M220,Profiles!$A$2:$A$100,0)))</f>
        <v/>
      </c>
      <c r="O220" s="20" t="str">
        <f aca="false">IF($A220="","",INDEX(Profiles!$E$2:$E$100,MATCH($M220,Profiles!$A$2:$A$100,0)))</f>
        <v/>
      </c>
      <c r="P220" s="21" t="str">
        <f aca="false">IF($L220&lt;&gt;"Planned","",$K220*$D220*$N220*(1+$O220))</f>
        <v/>
      </c>
      <c r="Q220" s="21" t="str">
        <f aca="false">IF($L220&lt;&gt;"Planned","",$K220*$D220)</f>
        <v/>
      </c>
      <c r="R220" s="21" t="str">
        <f aca="false">IF($L220&lt;&gt;"Planned","",MAX(N($E220),$K220*$D220*$N220,$K220*N($G220)))</f>
        <v/>
      </c>
      <c r="S220" s="21" t="str">
        <f aca="false">IF($L220&lt;&gt;"Planned","",$P220)</f>
        <v/>
      </c>
      <c r="T220" s="21" t="str">
        <f aca="false">IF($L220&lt;&gt;"Planned","",$P220+$Q220)</f>
        <v/>
      </c>
      <c r="U220" s="21" t="str">
        <f aca="false">IF($L220&lt;&gt;"Planned","",$T220+$R220)</f>
        <v/>
      </c>
      <c r="V220" s="8" t="str">
        <f aca="false">IF($A220="","",SUMIFS('Open supply'!$C:$C,'Open supply'!$A:$A,$AF220))</f>
        <v/>
      </c>
      <c r="W220" s="8" t="str">
        <f aca="false">IF($A220="","",SUMIFS('Open supply'!$C:$C,'Open supply'!$A:$A,$AF220,'Open supply'!$B:$B,"&lt;"&amp;PlanDate))</f>
        <v/>
      </c>
      <c r="X220" s="8" t="str">
        <f aca="false">IF($A220="","",SUMIFS('Open demand'!$G:$G,'Open demand'!$A:$A,$AF220))</f>
        <v/>
      </c>
      <c r="Y220" s="8" t="str">
        <f aca="false">IF($L220&lt;&gt;"Planned","",N($H220)+$V220-$X220)</f>
        <v/>
      </c>
      <c r="Z220" s="19" t="str">
        <f aca="false">IF($L220&lt;&gt;"Planned","",IF($Y220&lt;=$S220,"Red",IF($Y220&lt;=$T220,"Yellow",IF($Y220&lt;=$U220,"Green","Above green"))))</f>
        <v/>
      </c>
      <c r="AA220" s="22" t="str">
        <f aca="false">IF(OR($L220&lt;&gt;"Planned",N($U220)&lt;=0),"",$Y220/$U220)</f>
        <v/>
      </c>
      <c r="AB220" s="8" t="str">
        <f aca="false">IF($L220&lt;&gt;"Planned","",IF($Y220&lt;=$T220,ROUNDUP(MAX($U220-$Y220,N($E220))/IF(N($F220)&gt;0,$F220,1)-0.000000001,0)*IF(N($F220)&gt;0,$F220,1),""))</f>
        <v/>
      </c>
      <c r="AC220" s="23" t="str">
        <f aca="false">IF(N($AB220)&gt;0,PlanDate+ROUNDUP($D220,0),"")</f>
        <v/>
      </c>
      <c r="AD220" s="19" t="str">
        <f aca="false">IF($L220&lt;&gt;"Planned","",IF(N($H220)&lt;=0,"Stockout",IF(N($H220)&lt;$S220*0.5,"Critical",IF(N($H220)&lt;=$S220,"Low",IF(N($H220)&gt;$U220,"Over top of green","OK")))))</f>
        <v/>
      </c>
      <c r="AE220" s="8" t="str">
        <f aca="false">IF($A220="","",$A220&amp;"")</f>
        <v/>
      </c>
      <c r="AF220" s="8" t="str">
        <f aca="false">IF($A220="","",SUBSTITUTE(SUBSTITUTE(SUBSTITUTE($A220&amp;"","~","~~"),"*","~*"),"?","~?"))</f>
        <v/>
      </c>
    </row>
    <row r="221" customFormat="false" ht="15" hidden="false" customHeight="false" outlineLevel="0" collapsed="false">
      <c r="A221" s="11"/>
      <c r="B221" s="11"/>
      <c r="C221" s="11"/>
      <c r="D221" s="16"/>
      <c r="E221" s="11"/>
      <c r="F221" s="11"/>
      <c r="G221" s="9"/>
      <c r="H221" s="11"/>
      <c r="I221" s="17"/>
      <c r="J221" s="18" t="str">
        <f aca="false">IF($A221="","",IF(COUNT(Usage!$C:$C)=0,"",MAX(0,SUMIFS(Usage!$C:$C,Usage!$A:$A,$AF221,Usage!$B:$B,"&gt;="&amp;(PlanDate-AduWindow),Usage!$B:$B,"&lt;"&amp;PlanDate))/AduWindow))</f>
        <v/>
      </c>
      <c r="K221" s="18" t="str">
        <f aca="false">IF($A221="","",IF(AND(ISNUMBER($I221),N($I221)&gt;=0),$I221,$J221))</f>
        <v/>
      </c>
      <c r="L221" s="19" t="str">
        <f aca="false">IF($A221="","",IF($K221="","Needs ADU",IF($K221&lt;=0,"No recent demand",IF(N($D221)&lt;=0,"Needs lead time","Planned"))))</f>
        <v/>
      </c>
      <c r="M221" s="8" t="str">
        <f aca="false">IF($A221="","",IF(ISNUMBER(MATCH($C221,Profiles!$A$2:$A$100,0)),$C221,DefaultProfile))</f>
        <v/>
      </c>
      <c r="N221" s="20" t="str">
        <f aca="false">IF($A221="","",INDEX(Profiles!$D$2:$D$100,MATCH($M221,Profiles!$A$2:$A$100,0)))</f>
        <v/>
      </c>
      <c r="O221" s="20" t="str">
        <f aca="false">IF($A221="","",INDEX(Profiles!$E$2:$E$100,MATCH($M221,Profiles!$A$2:$A$100,0)))</f>
        <v/>
      </c>
      <c r="P221" s="21" t="str">
        <f aca="false">IF($L221&lt;&gt;"Planned","",$K221*$D221*$N221*(1+$O221))</f>
        <v/>
      </c>
      <c r="Q221" s="21" t="str">
        <f aca="false">IF($L221&lt;&gt;"Planned","",$K221*$D221)</f>
        <v/>
      </c>
      <c r="R221" s="21" t="str">
        <f aca="false">IF($L221&lt;&gt;"Planned","",MAX(N($E221),$K221*$D221*$N221,$K221*N($G221)))</f>
        <v/>
      </c>
      <c r="S221" s="21" t="str">
        <f aca="false">IF($L221&lt;&gt;"Planned","",$P221)</f>
        <v/>
      </c>
      <c r="T221" s="21" t="str">
        <f aca="false">IF($L221&lt;&gt;"Planned","",$P221+$Q221)</f>
        <v/>
      </c>
      <c r="U221" s="21" t="str">
        <f aca="false">IF($L221&lt;&gt;"Planned","",$T221+$R221)</f>
        <v/>
      </c>
      <c r="V221" s="8" t="str">
        <f aca="false">IF($A221="","",SUMIFS('Open supply'!$C:$C,'Open supply'!$A:$A,$AF221))</f>
        <v/>
      </c>
      <c r="W221" s="8" t="str">
        <f aca="false">IF($A221="","",SUMIFS('Open supply'!$C:$C,'Open supply'!$A:$A,$AF221,'Open supply'!$B:$B,"&lt;"&amp;PlanDate))</f>
        <v/>
      </c>
      <c r="X221" s="8" t="str">
        <f aca="false">IF($A221="","",SUMIFS('Open demand'!$G:$G,'Open demand'!$A:$A,$AF221))</f>
        <v/>
      </c>
      <c r="Y221" s="8" t="str">
        <f aca="false">IF($L221&lt;&gt;"Planned","",N($H221)+$V221-$X221)</f>
        <v/>
      </c>
      <c r="Z221" s="19" t="str">
        <f aca="false">IF($L221&lt;&gt;"Planned","",IF($Y221&lt;=$S221,"Red",IF($Y221&lt;=$T221,"Yellow",IF($Y221&lt;=$U221,"Green","Above green"))))</f>
        <v/>
      </c>
      <c r="AA221" s="22" t="str">
        <f aca="false">IF(OR($L221&lt;&gt;"Planned",N($U221)&lt;=0),"",$Y221/$U221)</f>
        <v/>
      </c>
      <c r="AB221" s="8" t="str">
        <f aca="false">IF($L221&lt;&gt;"Planned","",IF($Y221&lt;=$T221,ROUNDUP(MAX($U221-$Y221,N($E221))/IF(N($F221)&gt;0,$F221,1)-0.000000001,0)*IF(N($F221)&gt;0,$F221,1),""))</f>
        <v/>
      </c>
      <c r="AC221" s="23" t="str">
        <f aca="false">IF(N($AB221)&gt;0,PlanDate+ROUNDUP($D221,0),"")</f>
        <v/>
      </c>
      <c r="AD221" s="19" t="str">
        <f aca="false">IF($L221&lt;&gt;"Planned","",IF(N($H221)&lt;=0,"Stockout",IF(N($H221)&lt;$S221*0.5,"Critical",IF(N($H221)&lt;=$S221,"Low",IF(N($H221)&gt;$U221,"Over top of green","OK")))))</f>
        <v/>
      </c>
      <c r="AE221" s="8" t="str">
        <f aca="false">IF($A221="","",$A221&amp;"")</f>
        <v/>
      </c>
      <c r="AF221" s="8" t="str">
        <f aca="false">IF($A221="","",SUBSTITUTE(SUBSTITUTE(SUBSTITUTE($A221&amp;"","~","~~"),"*","~*"),"?","~?"))</f>
        <v/>
      </c>
    </row>
    <row r="222" customFormat="false" ht="15" hidden="false" customHeight="false" outlineLevel="0" collapsed="false">
      <c r="A222" s="11"/>
      <c r="B222" s="11"/>
      <c r="C222" s="11"/>
      <c r="D222" s="16"/>
      <c r="E222" s="11"/>
      <c r="F222" s="11"/>
      <c r="G222" s="9"/>
      <c r="H222" s="11"/>
      <c r="I222" s="17"/>
      <c r="J222" s="18" t="str">
        <f aca="false">IF($A222="","",IF(COUNT(Usage!$C:$C)=0,"",MAX(0,SUMIFS(Usage!$C:$C,Usage!$A:$A,$AF222,Usage!$B:$B,"&gt;="&amp;(PlanDate-AduWindow),Usage!$B:$B,"&lt;"&amp;PlanDate))/AduWindow))</f>
        <v/>
      </c>
      <c r="K222" s="18" t="str">
        <f aca="false">IF($A222="","",IF(AND(ISNUMBER($I222),N($I222)&gt;=0),$I222,$J222))</f>
        <v/>
      </c>
      <c r="L222" s="19" t="str">
        <f aca="false">IF($A222="","",IF($K222="","Needs ADU",IF($K222&lt;=0,"No recent demand",IF(N($D222)&lt;=0,"Needs lead time","Planned"))))</f>
        <v/>
      </c>
      <c r="M222" s="8" t="str">
        <f aca="false">IF($A222="","",IF(ISNUMBER(MATCH($C222,Profiles!$A$2:$A$100,0)),$C222,DefaultProfile))</f>
        <v/>
      </c>
      <c r="N222" s="20" t="str">
        <f aca="false">IF($A222="","",INDEX(Profiles!$D$2:$D$100,MATCH($M222,Profiles!$A$2:$A$100,0)))</f>
        <v/>
      </c>
      <c r="O222" s="20" t="str">
        <f aca="false">IF($A222="","",INDEX(Profiles!$E$2:$E$100,MATCH($M222,Profiles!$A$2:$A$100,0)))</f>
        <v/>
      </c>
      <c r="P222" s="21" t="str">
        <f aca="false">IF($L222&lt;&gt;"Planned","",$K222*$D222*$N222*(1+$O222))</f>
        <v/>
      </c>
      <c r="Q222" s="21" t="str">
        <f aca="false">IF($L222&lt;&gt;"Planned","",$K222*$D222)</f>
        <v/>
      </c>
      <c r="R222" s="21" t="str">
        <f aca="false">IF($L222&lt;&gt;"Planned","",MAX(N($E222),$K222*$D222*$N222,$K222*N($G222)))</f>
        <v/>
      </c>
      <c r="S222" s="21" t="str">
        <f aca="false">IF($L222&lt;&gt;"Planned","",$P222)</f>
        <v/>
      </c>
      <c r="T222" s="21" t="str">
        <f aca="false">IF($L222&lt;&gt;"Planned","",$P222+$Q222)</f>
        <v/>
      </c>
      <c r="U222" s="21" t="str">
        <f aca="false">IF($L222&lt;&gt;"Planned","",$T222+$R222)</f>
        <v/>
      </c>
      <c r="V222" s="8" t="str">
        <f aca="false">IF($A222="","",SUMIFS('Open supply'!$C:$C,'Open supply'!$A:$A,$AF222))</f>
        <v/>
      </c>
      <c r="W222" s="8" t="str">
        <f aca="false">IF($A222="","",SUMIFS('Open supply'!$C:$C,'Open supply'!$A:$A,$AF222,'Open supply'!$B:$B,"&lt;"&amp;PlanDate))</f>
        <v/>
      </c>
      <c r="X222" s="8" t="str">
        <f aca="false">IF($A222="","",SUMIFS('Open demand'!$G:$G,'Open demand'!$A:$A,$AF222))</f>
        <v/>
      </c>
      <c r="Y222" s="8" t="str">
        <f aca="false">IF($L222&lt;&gt;"Planned","",N($H222)+$V222-$X222)</f>
        <v/>
      </c>
      <c r="Z222" s="19" t="str">
        <f aca="false">IF($L222&lt;&gt;"Planned","",IF($Y222&lt;=$S222,"Red",IF($Y222&lt;=$T222,"Yellow",IF($Y222&lt;=$U222,"Green","Above green"))))</f>
        <v/>
      </c>
      <c r="AA222" s="22" t="str">
        <f aca="false">IF(OR($L222&lt;&gt;"Planned",N($U222)&lt;=0),"",$Y222/$U222)</f>
        <v/>
      </c>
      <c r="AB222" s="8" t="str">
        <f aca="false">IF($L222&lt;&gt;"Planned","",IF($Y222&lt;=$T222,ROUNDUP(MAX($U222-$Y222,N($E222))/IF(N($F222)&gt;0,$F222,1)-0.000000001,0)*IF(N($F222)&gt;0,$F222,1),""))</f>
        <v/>
      </c>
      <c r="AC222" s="23" t="str">
        <f aca="false">IF(N($AB222)&gt;0,PlanDate+ROUNDUP($D222,0),"")</f>
        <v/>
      </c>
      <c r="AD222" s="19" t="str">
        <f aca="false">IF($L222&lt;&gt;"Planned","",IF(N($H222)&lt;=0,"Stockout",IF(N($H222)&lt;$S222*0.5,"Critical",IF(N($H222)&lt;=$S222,"Low",IF(N($H222)&gt;$U222,"Over top of green","OK")))))</f>
        <v/>
      </c>
      <c r="AE222" s="8" t="str">
        <f aca="false">IF($A222="","",$A222&amp;"")</f>
        <v/>
      </c>
      <c r="AF222" s="8" t="str">
        <f aca="false">IF($A222="","",SUBSTITUTE(SUBSTITUTE(SUBSTITUTE($A222&amp;"","~","~~"),"*","~*"),"?","~?"))</f>
        <v/>
      </c>
    </row>
    <row r="223" customFormat="false" ht="15" hidden="false" customHeight="false" outlineLevel="0" collapsed="false">
      <c r="A223" s="11"/>
      <c r="B223" s="11"/>
      <c r="C223" s="11"/>
      <c r="D223" s="16"/>
      <c r="E223" s="11"/>
      <c r="F223" s="11"/>
      <c r="G223" s="9"/>
      <c r="H223" s="11"/>
      <c r="I223" s="17"/>
      <c r="J223" s="18" t="str">
        <f aca="false">IF($A223="","",IF(COUNT(Usage!$C:$C)=0,"",MAX(0,SUMIFS(Usage!$C:$C,Usage!$A:$A,$AF223,Usage!$B:$B,"&gt;="&amp;(PlanDate-AduWindow),Usage!$B:$B,"&lt;"&amp;PlanDate))/AduWindow))</f>
        <v/>
      </c>
      <c r="K223" s="18" t="str">
        <f aca="false">IF($A223="","",IF(AND(ISNUMBER($I223),N($I223)&gt;=0),$I223,$J223))</f>
        <v/>
      </c>
      <c r="L223" s="19" t="str">
        <f aca="false">IF($A223="","",IF($K223="","Needs ADU",IF($K223&lt;=0,"No recent demand",IF(N($D223)&lt;=0,"Needs lead time","Planned"))))</f>
        <v/>
      </c>
      <c r="M223" s="8" t="str">
        <f aca="false">IF($A223="","",IF(ISNUMBER(MATCH($C223,Profiles!$A$2:$A$100,0)),$C223,DefaultProfile))</f>
        <v/>
      </c>
      <c r="N223" s="20" t="str">
        <f aca="false">IF($A223="","",INDEX(Profiles!$D$2:$D$100,MATCH($M223,Profiles!$A$2:$A$100,0)))</f>
        <v/>
      </c>
      <c r="O223" s="20" t="str">
        <f aca="false">IF($A223="","",INDEX(Profiles!$E$2:$E$100,MATCH($M223,Profiles!$A$2:$A$100,0)))</f>
        <v/>
      </c>
      <c r="P223" s="21" t="str">
        <f aca="false">IF($L223&lt;&gt;"Planned","",$K223*$D223*$N223*(1+$O223))</f>
        <v/>
      </c>
      <c r="Q223" s="21" t="str">
        <f aca="false">IF($L223&lt;&gt;"Planned","",$K223*$D223)</f>
        <v/>
      </c>
      <c r="R223" s="21" t="str">
        <f aca="false">IF($L223&lt;&gt;"Planned","",MAX(N($E223),$K223*$D223*$N223,$K223*N($G223)))</f>
        <v/>
      </c>
      <c r="S223" s="21" t="str">
        <f aca="false">IF($L223&lt;&gt;"Planned","",$P223)</f>
        <v/>
      </c>
      <c r="T223" s="21" t="str">
        <f aca="false">IF($L223&lt;&gt;"Planned","",$P223+$Q223)</f>
        <v/>
      </c>
      <c r="U223" s="21" t="str">
        <f aca="false">IF($L223&lt;&gt;"Planned","",$T223+$R223)</f>
        <v/>
      </c>
      <c r="V223" s="8" t="str">
        <f aca="false">IF($A223="","",SUMIFS('Open supply'!$C:$C,'Open supply'!$A:$A,$AF223))</f>
        <v/>
      </c>
      <c r="W223" s="8" t="str">
        <f aca="false">IF($A223="","",SUMIFS('Open supply'!$C:$C,'Open supply'!$A:$A,$AF223,'Open supply'!$B:$B,"&lt;"&amp;PlanDate))</f>
        <v/>
      </c>
      <c r="X223" s="8" t="str">
        <f aca="false">IF($A223="","",SUMIFS('Open demand'!$G:$G,'Open demand'!$A:$A,$AF223))</f>
        <v/>
      </c>
      <c r="Y223" s="8" t="str">
        <f aca="false">IF($L223&lt;&gt;"Planned","",N($H223)+$V223-$X223)</f>
        <v/>
      </c>
      <c r="Z223" s="19" t="str">
        <f aca="false">IF($L223&lt;&gt;"Planned","",IF($Y223&lt;=$S223,"Red",IF($Y223&lt;=$T223,"Yellow",IF($Y223&lt;=$U223,"Green","Above green"))))</f>
        <v/>
      </c>
      <c r="AA223" s="22" t="str">
        <f aca="false">IF(OR($L223&lt;&gt;"Planned",N($U223)&lt;=0),"",$Y223/$U223)</f>
        <v/>
      </c>
      <c r="AB223" s="8" t="str">
        <f aca="false">IF($L223&lt;&gt;"Planned","",IF($Y223&lt;=$T223,ROUNDUP(MAX($U223-$Y223,N($E223))/IF(N($F223)&gt;0,$F223,1)-0.000000001,0)*IF(N($F223)&gt;0,$F223,1),""))</f>
        <v/>
      </c>
      <c r="AC223" s="23" t="str">
        <f aca="false">IF(N($AB223)&gt;0,PlanDate+ROUNDUP($D223,0),"")</f>
        <v/>
      </c>
      <c r="AD223" s="19" t="str">
        <f aca="false">IF($L223&lt;&gt;"Planned","",IF(N($H223)&lt;=0,"Stockout",IF(N($H223)&lt;$S223*0.5,"Critical",IF(N($H223)&lt;=$S223,"Low",IF(N($H223)&gt;$U223,"Over top of green","OK")))))</f>
        <v/>
      </c>
      <c r="AE223" s="8" t="str">
        <f aca="false">IF($A223="","",$A223&amp;"")</f>
        <v/>
      </c>
      <c r="AF223" s="8" t="str">
        <f aca="false">IF($A223="","",SUBSTITUTE(SUBSTITUTE(SUBSTITUTE($A223&amp;"","~","~~"),"*","~*"),"?","~?"))</f>
        <v/>
      </c>
    </row>
    <row r="224" customFormat="false" ht="15" hidden="false" customHeight="false" outlineLevel="0" collapsed="false">
      <c r="A224" s="11"/>
      <c r="B224" s="11"/>
      <c r="C224" s="11"/>
      <c r="D224" s="16"/>
      <c r="E224" s="11"/>
      <c r="F224" s="11"/>
      <c r="G224" s="9"/>
      <c r="H224" s="11"/>
      <c r="I224" s="17"/>
      <c r="J224" s="18" t="str">
        <f aca="false">IF($A224="","",IF(COUNT(Usage!$C:$C)=0,"",MAX(0,SUMIFS(Usage!$C:$C,Usage!$A:$A,$AF224,Usage!$B:$B,"&gt;="&amp;(PlanDate-AduWindow),Usage!$B:$B,"&lt;"&amp;PlanDate))/AduWindow))</f>
        <v/>
      </c>
      <c r="K224" s="18" t="str">
        <f aca="false">IF($A224="","",IF(AND(ISNUMBER($I224),N($I224)&gt;=0),$I224,$J224))</f>
        <v/>
      </c>
      <c r="L224" s="19" t="str">
        <f aca="false">IF($A224="","",IF($K224="","Needs ADU",IF($K224&lt;=0,"No recent demand",IF(N($D224)&lt;=0,"Needs lead time","Planned"))))</f>
        <v/>
      </c>
      <c r="M224" s="8" t="str">
        <f aca="false">IF($A224="","",IF(ISNUMBER(MATCH($C224,Profiles!$A$2:$A$100,0)),$C224,DefaultProfile))</f>
        <v/>
      </c>
      <c r="N224" s="20" t="str">
        <f aca="false">IF($A224="","",INDEX(Profiles!$D$2:$D$100,MATCH($M224,Profiles!$A$2:$A$100,0)))</f>
        <v/>
      </c>
      <c r="O224" s="20" t="str">
        <f aca="false">IF($A224="","",INDEX(Profiles!$E$2:$E$100,MATCH($M224,Profiles!$A$2:$A$100,0)))</f>
        <v/>
      </c>
      <c r="P224" s="21" t="str">
        <f aca="false">IF($L224&lt;&gt;"Planned","",$K224*$D224*$N224*(1+$O224))</f>
        <v/>
      </c>
      <c r="Q224" s="21" t="str">
        <f aca="false">IF($L224&lt;&gt;"Planned","",$K224*$D224)</f>
        <v/>
      </c>
      <c r="R224" s="21" t="str">
        <f aca="false">IF($L224&lt;&gt;"Planned","",MAX(N($E224),$K224*$D224*$N224,$K224*N($G224)))</f>
        <v/>
      </c>
      <c r="S224" s="21" t="str">
        <f aca="false">IF($L224&lt;&gt;"Planned","",$P224)</f>
        <v/>
      </c>
      <c r="T224" s="21" t="str">
        <f aca="false">IF($L224&lt;&gt;"Planned","",$P224+$Q224)</f>
        <v/>
      </c>
      <c r="U224" s="21" t="str">
        <f aca="false">IF($L224&lt;&gt;"Planned","",$T224+$R224)</f>
        <v/>
      </c>
      <c r="V224" s="8" t="str">
        <f aca="false">IF($A224="","",SUMIFS('Open supply'!$C:$C,'Open supply'!$A:$A,$AF224))</f>
        <v/>
      </c>
      <c r="W224" s="8" t="str">
        <f aca="false">IF($A224="","",SUMIFS('Open supply'!$C:$C,'Open supply'!$A:$A,$AF224,'Open supply'!$B:$B,"&lt;"&amp;PlanDate))</f>
        <v/>
      </c>
      <c r="X224" s="8" t="str">
        <f aca="false">IF($A224="","",SUMIFS('Open demand'!$G:$G,'Open demand'!$A:$A,$AF224))</f>
        <v/>
      </c>
      <c r="Y224" s="8" t="str">
        <f aca="false">IF($L224&lt;&gt;"Planned","",N($H224)+$V224-$X224)</f>
        <v/>
      </c>
      <c r="Z224" s="19" t="str">
        <f aca="false">IF($L224&lt;&gt;"Planned","",IF($Y224&lt;=$S224,"Red",IF($Y224&lt;=$T224,"Yellow",IF($Y224&lt;=$U224,"Green","Above green"))))</f>
        <v/>
      </c>
      <c r="AA224" s="22" t="str">
        <f aca="false">IF(OR($L224&lt;&gt;"Planned",N($U224)&lt;=0),"",$Y224/$U224)</f>
        <v/>
      </c>
      <c r="AB224" s="8" t="str">
        <f aca="false">IF($L224&lt;&gt;"Planned","",IF($Y224&lt;=$T224,ROUNDUP(MAX($U224-$Y224,N($E224))/IF(N($F224)&gt;0,$F224,1)-0.000000001,0)*IF(N($F224)&gt;0,$F224,1),""))</f>
        <v/>
      </c>
      <c r="AC224" s="23" t="str">
        <f aca="false">IF(N($AB224)&gt;0,PlanDate+ROUNDUP($D224,0),"")</f>
        <v/>
      </c>
      <c r="AD224" s="19" t="str">
        <f aca="false">IF($L224&lt;&gt;"Planned","",IF(N($H224)&lt;=0,"Stockout",IF(N($H224)&lt;$S224*0.5,"Critical",IF(N($H224)&lt;=$S224,"Low",IF(N($H224)&gt;$U224,"Over top of green","OK")))))</f>
        <v/>
      </c>
      <c r="AE224" s="8" t="str">
        <f aca="false">IF($A224="","",$A224&amp;"")</f>
        <v/>
      </c>
      <c r="AF224" s="8" t="str">
        <f aca="false">IF($A224="","",SUBSTITUTE(SUBSTITUTE(SUBSTITUTE($A224&amp;"","~","~~"),"*","~*"),"?","~?"))</f>
        <v/>
      </c>
    </row>
    <row r="225" customFormat="false" ht="15" hidden="false" customHeight="false" outlineLevel="0" collapsed="false">
      <c r="A225" s="11"/>
      <c r="B225" s="11"/>
      <c r="C225" s="11"/>
      <c r="D225" s="16"/>
      <c r="E225" s="11"/>
      <c r="F225" s="11"/>
      <c r="G225" s="9"/>
      <c r="H225" s="11"/>
      <c r="I225" s="17"/>
      <c r="J225" s="18" t="str">
        <f aca="false">IF($A225="","",IF(COUNT(Usage!$C:$C)=0,"",MAX(0,SUMIFS(Usage!$C:$C,Usage!$A:$A,$AF225,Usage!$B:$B,"&gt;="&amp;(PlanDate-AduWindow),Usage!$B:$B,"&lt;"&amp;PlanDate))/AduWindow))</f>
        <v/>
      </c>
      <c r="K225" s="18" t="str">
        <f aca="false">IF($A225="","",IF(AND(ISNUMBER($I225),N($I225)&gt;=0),$I225,$J225))</f>
        <v/>
      </c>
      <c r="L225" s="19" t="str">
        <f aca="false">IF($A225="","",IF($K225="","Needs ADU",IF($K225&lt;=0,"No recent demand",IF(N($D225)&lt;=0,"Needs lead time","Planned"))))</f>
        <v/>
      </c>
      <c r="M225" s="8" t="str">
        <f aca="false">IF($A225="","",IF(ISNUMBER(MATCH($C225,Profiles!$A$2:$A$100,0)),$C225,DefaultProfile))</f>
        <v/>
      </c>
      <c r="N225" s="20" t="str">
        <f aca="false">IF($A225="","",INDEX(Profiles!$D$2:$D$100,MATCH($M225,Profiles!$A$2:$A$100,0)))</f>
        <v/>
      </c>
      <c r="O225" s="20" t="str">
        <f aca="false">IF($A225="","",INDEX(Profiles!$E$2:$E$100,MATCH($M225,Profiles!$A$2:$A$100,0)))</f>
        <v/>
      </c>
      <c r="P225" s="21" t="str">
        <f aca="false">IF($L225&lt;&gt;"Planned","",$K225*$D225*$N225*(1+$O225))</f>
        <v/>
      </c>
      <c r="Q225" s="21" t="str">
        <f aca="false">IF($L225&lt;&gt;"Planned","",$K225*$D225)</f>
        <v/>
      </c>
      <c r="R225" s="21" t="str">
        <f aca="false">IF($L225&lt;&gt;"Planned","",MAX(N($E225),$K225*$D225*$N225,$K225*N($G225)))</f>
        <v/>
      </c>
      <c r="S225" s="21" t="str">
        <f aca="false">IF($L225&lt;&gt;"Planned","",$P225)</f>
        <v/>
      </c>
      <c r="T225" s="21" t="str">
        <f aca="false">IF($L225&lt;&gt;"Planned","",$P225+$Q225)</f>
        <v/>
      </c>
      <c r="U225" s="21" t="str">
        <f aca="false">IF($L225&lt;&gt;"Planned","",$T225+$R225)</f>
        <v/>
      </c>
      <c r="V225" s="8" t="str">
        <f aca="false">IF($A225="","",SUMIFS('Open supply'!$C:$C,'Open supply'!$A:$A,$AF225))</f>
        <v/>
      </c>
      <c r="W225" s="8" t="str">
        <f aca="false">IF($A225="","",SUMIFS('Open supply'!$C:$C,'Open supply'!$A:$A,$AF225,'Open supply'!$B:$B,"&lt;"&amp;PlanDate))</f>
        <v/>
      </c>
      <c r="X225" s="8" t="str">
        <f aca="false">IF($A225="","",SUMIFS('Open demand'!$G:$G,'Open demand'!$A:$A,$AF225))</f>
        <v/>
      </c>
      <c r="Y225" s="8" t="str">
        <f aca="false">IF($L225&lt;&gt;"Planned","",N($H225)+$V225-$X225)</f>
        <v/>
      </c>
      <c r="Z225" s="19" t="str">
        <f aca="false">IF($L225&lt;&gt;"Planned","",IF($Y225&lt;=$S225,"Red",IF($Y225&lt;=$T225,"Yellow",IF($Y225&lt;=$U225,"Green","Above green"))))</f>
        <v/>
      </c>
      <c r="AA225" s="22" t="str">
        <f aca="false">IF(OR($L225&lt;&gt;"Planned",N($U225)&lt;=0),"",$Y225/$U225)</f>
        <v/>
      </c>
      <c r="AB225" s="8" t="str">
        <f aca="false">IF($L225&lt;&gt;"Planned","",IF($Y225&lt;=$T225,ROUNDUP(MAX($U225-$Y225,N($E225))/IF(N($F225)&gt;0,$F225,1)-0.000000001,0)*IF(N($F225)&gt;0,$F225,1),""))</f>
        <v/>
      </c>
      <c r="AC225" s="23" t="str">
        <f aca="false">IF(N($AB225)&gt;0,PlanDate+ROUNDUP($D225,0),"")</f>
        <v/>
      </c>
      <c r="AD225" s="19" t="str">
        <f aca="false">IF($L225&lt;&gt;"Planned","",IF(N($H225)&lt;=0,"Stockout",IF(N($H225)&lt;$S225*0.5,"Critical",IF(N($H225)&lt;=$S225,"Low",IF(N($H225)&gt;$U225,"Over top of green","OK")))))</f>
        <v/>
      </c>
      <c r="AE225" s="8" t="str">
        <f aca="false">IF($A225="","",$A225&amp;"")</f>
        <v/>
      </c>
      <c r="AF225" s="8" t="str">
        <f aca="false">IF($A225="","",SUBSTITUTE(SUBSTITUTE(SUBSTITUTE($A225&amp;"","~","~~"),"*","~*"),"?","~?"))</f>
        <v/>
      </c>
    </row>
    <row r="226" customFormat="false" ht="15" hidden="false" customHeight="false" outlineLevel="0" collapsed="false">
      <c r="A226" s="11"/>
      <c r="B226" s="11"/>
      <c r="C226" s="11"/>
      <c r="D226" s="16"/>
      <c r="E226" s="11"/>
      <c r="F226" s="11"/>
      <c r="G226" s="9"/>
      <c r="H226" s="11"/>
      <c r="I226" s="17"/>
      <c r="J226" s="18" t="str">
        <f aca="false">IF($A226="","",IF(COUNT(Usage!$C:$C)=0,"",MAX(0,SUMIFS(Usage!$C:$C,Usage!$A:$A,$AF226,Usage!$B:$B,"&gt;="&amp;(PlanDate-AduWindow),Usage!$B:$B,"&lt;"&amp;PlanDate))/AduWindow))</f>
        <v/>
      </c>
      <c r="K226" s="18" t="str">
        <f aca="false">IF($A226="","",IF(AND(ISNUMBER($I226),N($I226)&gt;=0),$I226,$J226))</f>
        <v/>
      </c>
      <c r="L226" s="19" t="str">
        <f aca="false">IF($A226="","",IF($K226="","Needs ADU",IF($K226&lt;=0,"No recent demand",IF(N($D226)&lt;=0,"Needs lead time","Planned"))))</f>
        <v/>
      </c>
      <c r="M226" s="8" t="str">
        <f aca="false">IF($A226="","",IF(ISNUMBER(MATCH($C226,Profiles!$A$2:$A$100,0)),$C226,DefaultProfile))</f>
        <v/>
      </c>
      <c r="N226" s="20" t="str">
        <f aca="false">IF($A226="","",INDEX(Profiles!$D$2:$D$100,MATCH($M226,Profiles!$A$2:$A$100,0)))</f>
        <v/>
      </c>
      <c r="O226" s="20" t="str">
        <f aca="false">IF($A226="","",INDEX(Profiles!$E$2:$E$100,MATCH($M226,Profiles!$A$2:$A$100,0)))</f>
        <v/>
      </c>
      <c r="P226" s="21" t="str">
        <f aca="false">IF($L226&lt;&gt;"Planned","",$K226*$D226*$N226*(1+$O226))</f>
        <v/>
      </c>
      <c r="Q226" s="21" t="str">
        <f aca="false">IF($L226&lt;&gt;"Planned","",$K226*$D226)</f>
        <v/>
      </c>
      <c r="R226" s="21" t="str">
        <f aca="false">IF($L226&lt;&gt;"Planned","",MAX(N($E226),$K226*$D226*$N226,$K226*N($G226)))</f>
        <v/>
      </c>
      <c r="S226" s="21" t="str">
        <f aca="false">IF($L226&lt;&gt;"Planned","",$P226)</f>
        <v/>
      </c>
      <c r="T226" s="21" t="str">
        <f aca="false">IF($L226&lt;&gt;"Planned","",$P226+$Q226)</f>
        <v/>
      </c>
      <c r="U226" s="21" t="str">
        <f aca="false">IF($L226&lt;&gt;"Planned","",$T226+$R226)</f>
        <v/>
      </c>
      <c r="V226" s="8" t="str">
        <f aca="false">IF($A226="","",SUMIFS('Open supply'!$C:$C,'Open supply'!$A:$A,$AF226))</f>
        <v/>
      </c>
      <c r="W226" s="8" t="str">
        <f aca="false">IF($A226="","",SUMIFS('Open supply'!$C:$C,'Open supply'!$A:$A,$AF226,'Open supply'!$B:$B,"&lt;"&amp;PlanDate))</f>
        <v/>
      </c>
      <c r="X226" s="8" t="str">
        <f aca="false">IF($A226="","",SUMIFS('Open demand'!$G:$G,'Open demand'!$A:$A,$AF226))</f>
        <v/>
      </c>
      <c r="Y226" s="8" t="str">
        <f aca="false">IF($L226&lt;&gt;"Planned","",N($H226)+$V226-$X226)</f>
        <v/>
      </c>
      <c r="Z226" s="19" t="str">
        <f aca="false">IF($L226&lt;&gt;"Planned","",IF($Y226&lt;=$S226,"Red",IF($Y226&lt;=$T226,"Yellow",IF($Y226&lt;=$U226,"Green","Above green"))))</f>
        <v/>
      </c>
      <c r="AA226" s="22" t="str">
        <f aca="false">IF(OR($L226&lt;&gt;"Planned",N($U226)&lt;=0),"",$Y226/$U226)</f>
        <v/>
      </c>
      <c r="AB226" s="8" t="str">
        <f aca="false">IF($L226&lt;&gt;"Planned","",IF($Y226&lt;=$T226,ROUNDUP(MAX($U226-$Y226,N($E226))/IF(N($F226)&gt;0,$F226,1)-0.000000001,0)*IF(N($F226)&gt;0,$F226,1),""))</f>
        <v/>
      </c>
      <c r="AC226" s="23" t="str">
        <f aca="false">IF(N($AB226)&gt;0,PlanDate+ROUNDUP($D226,0),"")</f>
        <v/>
      </c>
      <c r="AD226" s="19" t="str">
        <f aca="false">IF($L226&lt;&gt;"Planned","",IF(N($H226)&lt;=0,"Stockout",IF(N($H226)&lt;$S226*0.5,"Critical",IF(N($H226)&lt;=$S226,"Low",IF(N($H226)&gt;$U226,"Over top of green","OK")))))</f>
        <v/>
      </c>
      <c r="AE226" s="8" t="str">
        <f aca="false">IF($A226="","",$A226&amp;"")</f>
        <v/>
      </c>
      <c r="AF226" s="8" t="str">
        <f aca="false">IF($A226="","",SUBSTITUTE(SUBSTITUTE(SUBSTITUTE($A226&amp;"","~","~~"),"*","~*"),"?","~?"))</f>
        <v/>
      </c>
    </row>
    <row r="227" customFormat="false" ht="15" hidden="false" customHeight="false" outlineLevel="0" collapsed="false">
      <c r="A227" s="11"/>
      <c r="B227" s="11"/>
      <c r="C227" s="11"/>
      <c r="D227" s="16"/>
      <c r="E227" s="11"/>
      <c r="F227" s="11"/>
      <c r="G227" s="9"/>
      <c r="H227" s="11"/>
      <c r="I227" s="17"/>
      <c r="J227" s="18" t="str">
        <f aca="false">IF($A227="","",IF(COUNT(Usage!$C:$C)=0,"",MAX(0,SUMIFS(Usage!$C:$C,Usage!$A:$A,$AF227,Usage!$B:$B,"&gt;="&amp;(PlanDate-AduWindow),Usage!$B:$B,"&lt;"&amp;PlanDate))/AduWindow))</f>
        <v/>
      </c>
      <c r="K227" s="18" t="str">
        <f aca="false">IF($A227="","",IF(AND(ISNUMBER($I227),N($I227)&gt;=0),$I227,$J227))</f>
        <v/>
      </c>
      <c r="L227" s="19" t="str">
        <f aca="false">IF($A227="","",IF($K227="","Needs ADU",IF($K227&lt;=0,"No recent demand",IF(N($D227)&lt;=0,"Needs lead time","Planned"))))</f>
        <v/>
      </c>
      <c r="M227" s="8" t="str">
        <f aca="false">IF($A227="","",IF(ISNUMBER(MATCH($C227,Profiles!$A$2:$A$100,0)),$C227,DefaultProfile))</f>
        <v/>
      </c>
      <c r="N227" s="20" t="str">
        <f aca="false">IF($A227="","",INDEX(Profiles!$D$2:$D$100,MATCH($M227,Profiles!$A$2:$A$100,0)))</f>
        <v/>
      </c>
      <c r="O227" s="20" t="str">
        <f aca="false">IF($A227="","",INDEX(Profiles!$E$2:$E$100,MATCH($M227,Profiles!$A$2:$A$100,0)))</f>
        <v/>
      </c>
      <c r="P227" s="21" t="str">
        <f aca="false">IF($L227&lt;&gt;"Planned","",$K227*$D227*$N227*(1+$O227))</f>
        <v/>
      </c>
      <c r="Q227" s="21" t="str">
        <f aca="false">IF($L227&lt;&gt;"Planned","",$K227*$D227)</f>
        <v/>
      </c>
      <c r="R227" s="21" t="str">
        <f aca="false">IF($L227&lt;&gt;"Planned","",MAX(N($E227),$K227*$D227*$N227,$K227*N($G227)))</f>
        <v/>
      </c>
      <c r="S227" s="21" t="str">
        <f aca="false">IF($L227&lt;&gt;"Planned","",$P227)</f>
        <v/>
      </c>
      <c r="T227" s="21" t="str">
        <f aca="false">IF($L227&lt;&gt;"Planned","",$P227+$Q227)</f>
        <v/>
      </c>
      <c r="U227" s="21" t="str">
        <f aca="false">IF($L227&lt;&gt;"Planned","",$T227+$R227)</f>
        <v/>
      </c>
      <c r="V227" s="8" t="str">
        <f aca="false">IF($A227="","",SUMIFS('Open supply'!$C:$C,'Open supply'!$A:$A,$AF227))</f>
        <v/>
      </c>
      <c r="W227" s="8" t="str">
        <f aca="false">IF($A227="","",SUMIFS('Open supply'!$C:$C,'Open supply'!$A:$A,$AF227,'Open supply'!$B:$B,"&lt;"&amp;PlanDate))</f>
        <v/>
      </c>
      <c r="X227" s="8" t="str">
        <f aca="false">IF($A227="","",SUMIFS('Open demand'!$G:$G,'Open demand'!$A:$A,$AF227))</f>
        <v/>
      </c>
      <c r="Y227" s="8" t="str">
        <f aca="false">IF($L227&lt;&gt;"Planned","",N($H227)+$V227-$X227)</f>
        <v/>
      </c>
      <c r="Z227" s="19" t="str">
        <f aca="false">IF($L227&lt;&gt;"Planned","",IF($Y227&lt;=$S227,"Red",IF($Y227&lt;=$T227,"Yellow",IF($Y227&lt;=$U227,"Green","Above green"))))</f>
        <v/>
      </c>
      <c r="AA227" s="22" t="str">
        <f aca="false">IF(OR($L227&lt;&gt;"Planned",N($U227)&lt;=0),"",$Y227/$U227)</f>
        <v/>
      </c>
      <c r="AB227" s="8" t="str">
        <f aca="false">IF($L227&lt;&gt;"Planned","",IF($Y227&lt;=$T227,ROUNDUP(MAX($U227-$Y227,N($E227))/IF(N($F227)&gt;0,$F227,1)-0.000000001,0)*IF(N($F227)&gt;0,$F227,1),""))</f>
        <v/>
      </c>
      <c r="AC227" s="23" t="str">
        <f aca="false">IF(N($AB227)&gt;0,PlanDate+ROUNDUP($D227,0),"")</f>
        <v/>
      </c>
      <c r="AD227" s="19" t="str">
        <f aca="false">IF($L227&lt;&gt;"Planned","",IF(N($H227)&lt;=0,"Stockout",IF(N($H227)&lt;$S227*0.5,"Critical",IF(N($H227)&lt;=$S227,"Low",IF(N($H227)&gt;$U227,"Over top of green","OK")))))</f>
        <v/>
      </c>
      <c r="AE227" s="8" t="str">
        <f aca="false">IF($A227="","",$A227&amp;"")</f>
        <v/>
      </c>
      <c r="AF227" s="8" t="str">
        <f aca="false">IF($A227="","",SUBSTITUTE(SUBSTITUTE(SUBSTITUTE($A227&amp;"","~","~~"),"*","~*"),"?","~?"))</f>
        <v/>
      </c>
    </row>
    <row r="228" customFormat="false" ht="15" hidden="false" customHeight="false" outlineLevel="0" collapsed="false">
      <c r="A228" s="11"/>
      <c r="B228" s="11"/>
      <c r="C228" s="11"/>
      <c r="D228" s="16"/>
      <c r="E228" s="11"/>
      <c r="F228" s="11"/>
      <c r="G228" s="9"/>
      <c r="H228" s="11"/>
      <c r="I228" s="17"/>
      <c r="J228" s="18" t="str">
        <f aca="false">IF($A228="","",IF(COUNT(Usage!$C:$C)=0,"",MAX(0,SUMIFS(Usage!$C:$C,Usage!$A:$A,$AF228,Usage!$B:$B,"&gt;="&amp;(PlanDate-AduWindow),Usage!$B:$B,"&lt;"&amp;PlanDate))/AduWindow))</f>
        <v/>
      </c>
      <c r="K228" s="18" t="str">
        <f aca="false">IF($A228="","",IF(AND(ISNUMBER($I228),N($I228)&gt;=0),$I228,$J228))</f>
        <v/>
      </c>
      <c r="L228" s="19" t="str">
        <f aca="false">IF($A228="","",IF($K228="","Needs ADU",IF($K228&lt;=0,"No recent demand",IF(N($D228)&lt;=0,"Needs lead time","Planned"))))</f>
        <v/>
      </c>
      <c r="M228" s="8" t="str">
        <f aca="false">IF($A228="","",IF(ISNUMBER(MATCH($C228,Profiles!$A$2:$A$100,0)),$C228,DefaultProfile))</f>
        <v/>
      </c>
      <c r="N228" s="20" t="str">
        <f aca="false">IF($A228="","",INDEX(Profiles!$D$2:$D$100,MATCH($M228,Profiles!$A$2:$A$100,0)))</f>
        <v/>
      </c>
      <c r="O228" s="20" t="str">
        <f aca="false">IF($A228="","",INDEX(Profiles!$E$2:$E$100,MATCH($M228,Profiles!$A$2:$A$100,0)))</f>
        <v/>
      </c>
      <c r="P228" s="21" t="str">
        <f aca="false">IF($L228&lt;&gt;"Planned","",$K228*$D228*$N228*(1+$O228))</f>
        <v/>
      </c>
      <c r="Q228" s="21" t="str">
        <f aca="false">IF($L228&lt;&gt;"Planned","",$K228*$D228)</f>
        <v/>
      </c>
      <c r="R228" s="21" t="str">
        <f aca="false">IF($L228&lt;&gt;"Planned","",MAX(N($E228),$K228*$D228*$N228,$K228*N($G228)))</f>
        <v/>
      </c>
      <c r="S228" s="21" t="str">
        <f aca="false">IF($L228&lt;&gt;"Planned","",$P228)</f>
        <v/>
      </c>
      <c r="T228" s="21" t="str">
        <f aca="false">IF($L228&lt;&gt;"Planned","",$P228+$Q228)</f>
        <v/>
      </c>
      <c r="U228" s="21" t="str">
        <f aca="false">IF($L228&lt;&gt;"Planned","",$T228+$R228)</f>
        <v/>
      </c>
      <c r="V228" s="8" t="str">
        <f aca="false">IF($A228="","",SUMIFS('Open supply'!$C:$C,'Open supply'!$A:$A,$AF228))</f>
        <v/>
      </c>
      <c r="W228" s="8" t="str">
        <f aca="false">IF($A228="","",SUMIFS('Open supply'!$C:$C,'Open supply'!$A:$A,$AF228,'Open supply'!$B:$B,"&lt;"&amp;PlanDate))</f>
        <v/>
      </c>
      <c r="X228" s="8" t="str">
        <f aca="false">IF($A228="","",SUMIFS('Open demand'!$G:$G,'Open demand'!$A:$A,$AF228))</f>
        <v/>
      </c>
      <c r="Y228" s="8" t="str">
        <f aca="false">IF($L228&lt;&gt;"Planned","",N($H228)+$V228-$X228)</f>
        <v/>
      </c>
      <c r="Z228" s="19" t="str">
        <f aca="false">IF($L228&lt;&gt;"Planned","",IF($Y228&lt;=$S228,"Red",IF($Y228&lt;=$T228,"Yellow",IF($Y228&lt;=$U228,"Green","Above green"))))</f>
        <v/>
      </c>
      <c r="AA228" s="22" t="str">
        <f aca="false">IF(OR($L228&lt;&gt;"Planned",N($U228)&lt;=0),"",$Y228/$U228)</f>
        <v/>
      </c>
      <c r="AB228" s="8" t="str">
        <f aca="false">IF($L228&lt;&gt;"Planned","",IF($Y228&lt;=$T228,ROUNDUP(MAX($U228-$Y228,N($E228))/IF(N($F228)&gt;0,$F228,1)-0.000000001,0)*IF(N($F228)&gt;0,$F228,1),""))</f>
        <v/>
      </c>
      <c r="AC228" s="23" t="str">
        <f aca="false">IF(N($AB228)&gt;0,PlanDate+ROUNDUP($D228,0),"")</f>
        <v/>
      </c>
      <c r="AD228" s="19" t="str">
        <f aca="false">IF($L228&lt;&gt;"Planned","",IF(N($H228)&lt;=0,"Stockout",IF(N($H228)&lt;$S228*0.5,"Critical",IF(N($H228)&lt;=$S228,"Low",IF(N($H228)&gt;$U228,"Over top of green","OK")))))</f>
        <v/>
      </c>
      <c r="AE228" s="8" t="str">
        <f aca="false">IF($A228="","",$A228&amp;"")</f>
        <v/>
      </c>
      <c r="AF228" s="8" t="str">
        <f aca="false">IF($A228="","",SUBSTITUTE(SUBSTITUTE(SUBSTITUTE($A228&amp;"","~","~~"),"*","~*"),"?","~?"))</f>
        <v/>
      </c>
    </row>
    <row r="229" customFormat="false" ht="15" hidden="false" customHeight="false" outlineLevel="0" collapsed="false">
      <c r="A229" s="11"/>
      <c r="B229" s="11"/>
      <c r="C229" s="11"/>
      <c r="D229" s="16"/>
      <c r="E229" s="11"/>
      <c r="F229" s="11"/>
      <c r="G229" s="9"/>
      <c r="H229" s="11"/>
      <c r="I229" s="17"/>
      <c r="J229" s="18" t="str">
        <f aca="false">IF($A229="","",IF(COUNT(Usage!$C:$C)=0,"",MAX(0,SUMIFS(Usage!$C:$C,Usage!$A:$A,$AF229,Usage!$B:$B,"&gt;="&amp;(PlanDate-AduWindow),Usage!$B:$B,"&lt;"&amp;PlanDate))/AduWindow))</f>
        <v/>
      </c>
      <c r="K229" s="18" t="str">
        <f aca="false">IF($A229="","",IF(AND(ISNUMBER($I229),N($I229)&gt;=0),$I229,$J229))</f>
        <v/>
      </c>
      <c r="L229" s="19" t="str">
        <f aca="false">IF($A229="","",IF($K229="","Needs ADU",IF($K229&lt;=0,"No recent demand",IF(N($D229)&lt;=0,"Needs lead time","Planned"))))</f>
        <v/>
      </c>
      <c r="M229" s="8" t="str">
        <f aca="false">IF($A229="","",IF(ISNUMBER(MATCH($C229,Profiles!$A$2:$A$100,0)),$C229,DefaultProfile))</f>
        <v/>
      </c>
      <c r="N229" s="20" t="str">
        <f aca="false">IF($A229="","",INDEX(Profiles!$D$2:$D$100,MATCH($M229,Profiles!$A$2:$A$100,0)))</f>
        <v/>
      </c>
      <c r="O229" s="20" t="str">
        <f aca="false">IF($A229="","",INDEX(Profiles!$E$2:$E$100,MATCH($M229,Profiles!$A$2:$A$100,0)))</f>
        <v/>
      </c>
      <c r="P229" s="21" t="str">
        <f aca="false">IF($L229&lt;&gt;"Planned","",$K229*$D229*$N229*(1+$O229))</f>
        <v/>
      </c>
      <c r="Q229" s="21" t="str">
        <f aca="false">IF($L229&lt;&gt;"Planned","",$K229*$D229)</f>
        <v/>
      </c>
      <c r="R229" s="21" t="str">
        <f aca="false">IF($L229&lt;&gt;"Planned","",MAX(N($E229),$K229*$D229*$N229,$K229*N($G229)))</f>
        <v/>
      </c>
      <c r="S229" s="21" t="str">
        <f aca="false">IF($L229&lt;&gt;"Planned","",$P229)</f>
        <v/>
      </c>
      <c r="T229" s="21" t="str">
        <f aca="false">IF($L229&lt;&gt;"Planned","",$P229+$Q229)</f>
        <v/>
      </c>
      <c r="U229" s="21" t="str">
        <f aca="false">IF($L229&lt;&gt;"Planned","",$T229+$R229)</f>
        <v/>
      </c>
      <c r="V229" s="8" t="str">
        <f aca="false">IF($A229="","",SUMIFS('Open supply'!$C:$C,'Open supply'!$A:$A,$AF229))</f>
        <v/>
      </c>
      <c r="W229" s="8" t="str">
        <f aca="false">IF($A229="","",SUMIFS('Open supply'!$C:$C,'Open supply'!$A:$A,$AF229,'Open supply'!$B:$B,"&lt;"&amp;PlanDate))</f>
        <v/>
      </c>
      <c r="X229" s="8" t="str">
        <f aca="false">IF($A229="","",SUMIFS('Open demand'!$G:$G,'Open demand'!$A:$A,$AF229))</f>
        <v/>
      </c>
      <c r="Y229" s="8" t="str">
        <f aca="false">IF($L229&lt;&gt;"Planned","",N($H229)+$V229-$X229)</f>
        <v/>
      </c>
      <c r="Z229" s="19" t="str">
        <f aca="false">IF($L229&lt;&gt;"Planned","",IF($Y229&lt;=$S229,"Red",IF($Y229&lt;=$T229,"Yellow",IF($Y229&lt;=$U229,"Green","Above green"))))</f>
        <v/>
      </c>
      <c r="AA229" s="22" t="str">
        <f aca="false">IF(OR($L229&lt;&gt;"Planned",N($U229)&lt;=0),"",$Y229/$U229)</f>
        <v/>
      </c>
      <c r="AB229" s="8" t="str">
        <f aca="false">IF($L229&lt;&gt;"Planned","",IF($Y229&lt;=$T229,ROUNDUP(MAX($U229-$Y229,N($E229))/IF(N($F229)&gt;0,$F229,1)-0.000000001,0)*IF(N($F229)&gt;0,$F229,1),""))</f>
        <v/>
      </c>
      <c r="AC229" s="23" t="str">
        <f aca="false">IF(N($AB229)&gt;0,PlanDate+ROUNDUP($D229,0),"")</f>
        <v/>
      </c>
      <c r="AD229" s="19" t="str">
        <f aca="false">IF($L229&lt;&gt;"Planned","",IF(N($H229)&lt;=0,"Stockout",IF(N($H229)&lt;$S229*0.5,"Critical",IF(N($H229)&lt;=$S229,"Low",IF(N($H229)&gt;$U229,"Over top of green","OK")))))</f>
        <v/>
      </c>
      <c r="AE229" s="8" t="str">
        <f aca="false">IF($A229="","",$A229&amp;"")</f>
        <v/>
      </c>
      <c r="AF229" s="8" t="str">
        <f aca="false">IF($A229="","",SUBSTITUTE(SUBSTITUTE(SUBSTITUTE($A229&amp;"","~","~~"),"*","~*"),"?","~?"))</f>
        <v/>
      </c>
    </row>
    <row r="230" customFormat="false" ht="15" hidden="false" customHeight="false" outlineLevel="0" collapsed="false">
      <c r="A230" s="11"/>
      <c r="B230" s="11"/>
      <c r="C230" s="11"/>
      <c r="D230" s="16"/>
      <c r="E230" s="11"/>
      <c r="F230" s="11"/>
      <c r="G230" s="9"/>
      <c r="H230" s="11"/>
      <c r="I230" s="17"/>
      <c r="J230" s="18" t="str">
        <f aca="false">IF($A230="","",IF(COUNT(Usage!$C:$C)=0,"",MAX(0,SUMIFS(Usage!$C:$C,Usage!$A:$A,$AF230,Usage!$B:$B,"&gt;="&amp;(PlanDate-AduWindow),Usage!$B:$B,"&lt;"&amp;PlanDate))/AduWindow))</f>
        <v/>
      </c>
      <c r="K230" s="18" t="str">
        <f aca="false">IF($A230="","",IF(AND(ISNUMBER($I230),N($I230)&gt;=0),$I230,$J230))</f>
        <v/>
      </c>
      <c r="L230" s="19" t="str">
        <f aca="false">IF($A230="","",IF($K230="","Needs ADU",IF($K230&lt;=0,"No recent demand",IF(N($D230)&lt;=0,"Needs lead time","Planned"))))</f>
        <v/>
      </c>
      <c r="M230" s="8" t="str">
        <f aca="false">IF($A230="","",IF(ISNUMBER(MATCH($C230,Profiles!$A$2:$A$100,0)),$C230,DefaultProfile))</f>
        <v/>
      </c>
      <c r="N230" s="20" t="str">
        <f aca="false">IF($A230="","",INDEX(Profiles!$D$2:$D$100,MATCH($M230,Profiles!$A$2:$A$100,0)))</f>
        <v/>
      </c>
      <c r="O230" s="20" t="str">
        <f aca="false">IF($A230="","",INDEX(Profiles!$E$2:$E$100,MATCH($M230,Profiles!$A$2:$A$100,0)))</f>
        <v/>
      </c>
      <c r="P230" s="21" t="str">
        <f aca="false">IF($L230&lt;&gt;"Planned","",$K230*$D230*$N230*(1+$O230))</f>
        <v/>
      </c>
      <c r="Q230" s="21" t="str">
        <f aca="false">IF($L230&lt;&gt;"Planned","",$K230*$D230)</f>
        <v/>
      </c>
      <c r="R230" s="21" t="str">
        <f aca="false">IF($L230&lt;&gt;"Planned","",MAX(N($E230),$K230*$D230*$N230,$K230*N($G230)))</f>
        <v/>
      </c>
      <c r="S230" s="21" t="str">
        <f aca="false">IF($L230&lt;&gt;"Planned","",$P230)</f>
        <v/>
      </c>
      <c r="T230" s="21" t="str">
        <f aca="false">IF($L230&lt;&gt;"Planned","",$P230+$Q230)</f>
        <v/>
      </c>
      <c r="U230" s="21" t="str">
        <f aca="false">IF($L230&lt;&gt;"Planned","",$T230+$R230)</f>
        <v/>
      </c>
      <c r="V230" s="8" t="str">
        <f aca="false">IF($A230="","",SUMIFS('Open supply'!$C:$C,'Open supply'!$A:$A,$AF230))</f>
        <v/>
      </c>
      <c r="W230" s="8" t="str">
        <f aca="false">IF($A230="","",SUMIFS('Open supply'!$C:$C,'Open supply'!$A:$A,$AF230,'Open supply'!$B:$B,"&lt;"&amp;PlanDate))</f>
        <v/>
      </c>
      <c r="X230" s="8" t="str">
        <f aca="false">IF($A230="","",SUMIFS('Open demand'!$G:$G,'Open demand'!$A:$A,$AF230))</f>
        <v/>
      </c>
      <c r="Y230" s="8" t="str">
        <f aca="false">IF($L230&lt;&gt;"Planned","",N($H230)+$V230-$X230)</f>
        <v/>
      </c>
      <c r="Z230" s="19" t="str">
        <f aca="false">IF($L230&lt;&gt;"Planned","",IF($Y230&lt;=$S230,"Red",IF($Y230&lt;=$T230,"Yellow",IF($Y230&lt;=$U230,"Green","Above green"))))</f>
        <v/>
      </c>
      <c r="AA230" s="22" t="str">
        <f aca="false">IF(OR($L230&lt;&gt;"Planned",N($U230)&lt;=0),"",$Y230/$U230)</f>
        <v/>
      </c>
      <c r="AB230" s="8" t="str">
        <f aca="false">IF($L230&lt;&gt;"Planned","",IF($Y230&lt;=$T230,ROUNDUP(MAX($U230-$Y230,N($E230))/IF(N($F230)&gt;0,$F230,1)-0.000000001,0)*IF(N($F230)&gt;0,$F230,1),""))</f>
        <v/>
      </c>
      <c r="AC230" s="23" t="str">
        <f aca="false">IF(N($AB230)&gt;0,PlanDate+ROUNDUP($D230,0),"")</f>
        <v/>
      </c>
      <c r="AD230" s="19" t="str">
        <f aca="false">IF($L230&lt;&gt;"Planned","",IF(N($H230)&lt;=0,"Stockout",IF(N($H230)&lt;$S230*0.5,"Critical",IF(N($H230)&lt;=$S230,"Low",IF(N($H230)&gt;$U230,"Over top of green","OK")))))</f>
        <v/>
      </c>
      <c r="AE230" s="8" t="str">
        <f aca="false">IF($A230="","",$A230&amp;"")</f>
        <v/>
      </c>
      <c r="AF230" s="8" t="str">
        <f aca="false">IF($A230="","",SUBSTITUTE(SUBSTITUTE(SUBSTITUTE($A230&amp;"","~","~~"),"*","~*"),"?","~?"))</f>
        <v/>
      </c>
    </row>
    <row r="231" customFormat="false" ht="15" hidden="false" customHeight="false" outlineLevel="0" collapsed="false">
      <c r="A231" s="11"/>
      <c r="B231" s="11"/>
      <c r="C231" s="11"/>
      <c r="D231" s="16"/>
      <c r="E231" s="11"/>
      <c r="F231" s="11"/>
      <c r="G231" s="9"/>
      <c r="H231" s="11"/>
      <c r="I231" s="17"/>
      <c r="J231" s="18" t="str">
        <f aca="false">IF($A231="","",IF(COUNT(Usage!$C:$C)=0,"",MAX(0,SUMIFS(Usage!$C:$C,Usage!$A:$A,$AF231,Usage!$B:$B,"&gt;="&amp;(PlanDate-AduWindow),Usage!$B:$B,"&lt;"&amp;PlanDate))/AduWindow))</f>
        <v/>
      </c>
      <c r="K231" s="18" t="str">
        <f aca="false">IF($A231="","",IF(AND(ISNUMBER($I231),N($I231)&gt;=0),$I231,$J231))</f>
        <v/>
      </c>
      <c r="L231" s="19" t="str">
        <f aca="false">IF($A231="","",IF($K231="","Needs ADU",IF($K231&lt;=0,"No recent demand",IF(N($D231)&lt;=0,"Needs lead time","Planned"))))</f>
        <v/>
      </c>
      <c r="M231" s="8" t="str">
        <f aca="false">IF($A231="","",IF(ISNUMBER(MATCH($C231,Profiles!$A$2:$A$100,0)),$C231,DefaultProfile))</f>
        <v/>
      </c>
      <c r="N231" s="20" t="str">
        <f aca="false">IF($A231="","",INDEX(Profiles!$D$2:$D$100,MATCH($M231,Profiles!$A$2:$A$100,0)))</f>
        <v/>
      </c>
      <c r="O231" s="20" t="str">
        <f aca="false">IF($A231="","",INDEX(Profiles!$E$2:$E$100,MATCH($M231,Profiles!$A$2:$A$100,0)))</f>
        <v/>
      </c>
      <c r="P231" s="21" t="str">
        <f aca="false">IF($L231&lt;&gt;"Planned","",$K231*$D231*$N231*(1+$O231))</f>
        <v/>
      </c>
      <c r="Q231" s="21" t="str">
        <f aca="false">IF($L231&lt;&gt;"Planned","",$K231*$D231)</f>
        <v/>
      </c>
      <c r="R231" s="21" t="str">
        <f aca="false">IF($L231&lt;&gt;"Planned","",MAX(N($E231),$K231*$D231*$N231,$K231*N($G231)))</f>
        <v/>
      </c>
      <c r="S231" s="21" t="str">
        <f aca="false">IF($L231&lt;&gt;"Planned","",$P231)</f>
        <v/>
      </c>
      <c r="T231" s="21" t="str">
        <f aca="false">IF($L231&lt;&gt;"Planned","",$P231+$Q231)</f>
        <v/>
      </c>
      <c r="U231" s="21" t="str">
        <f aca="false">IF($L231&lt;&gt;"Planned","",$T231+$R231)</f>
        <v/>
      </c>
      <c r="V231" s="8" t="str">
        <f aca="false">IF($A231="","",SUMIFS('Open supply'!$C:$C,'Open supply'!$A:$A,$AF231))</f>
        <v/>
      </c>
      <c r="W231" s="8" t="str">
        <f aca="false">IF($A231="","",SUMIFS('Open supply'!$C:$C,'Open supply'!$A:$A,$AF231,'Open supply'!$B:$B,"&lt;"&amp;PlanDate))</f>
        <v/>
      </c>
      <c r="X231" s="8" t="str">
        <f aca="false">IF($A231="","",SUMIFS('Open demand'!$G:$G,'Open demand'!$A:$A,$AF231))</f>
        <v/>
      </c>
      <c r="Y231" s="8" t="str">
        <f aca="false">IF($L231&lt;&gt;"Planned","",N($H231)+$V231-$X231)</f>
        <v/>
      </c>
      <c r="Z231" s="19" t="str">
        <f aca="false">IF($L231&lt;&gt;"Planned","",IF($Y231&lt;=$S231,"Red",IF($Y231&lt;=$T231,"Yellow",IF($Y231&lt;=$U231,"Green","Above green"))))</f>
        <v/>
      </c>
      <c r="AA231" s="22" t="str">
        <f aca="false">IF(OR($L231&lt;&gt;"Planned",N($U231)&lt;=0),"",$Y231/$U231)</f>
        <v/>
      </c>
      <c r="AB231" s="8" t="str">
        <f aca="false">IF($L231&lt;&gt;"Planned","",IF($Y231&lt;=$T231,ROUNDUP(MAX($U231-$Y231,N($E231))/IF(N($F231)&gt;0,$F231,1)-0.000000001,0)*IF(N($F231)&gt;0,$F231,1),""))</f>
        <v/>
      </c>
      <c r="AC231" s="23" t="str">
        <f aca="false">IF(N($AB231)&gt;0,PlanDate+ROUNDUP($D231,0),"")</f>
        <v/>
      </c>
      <c r="AD231" s="19" t="str">
        <f aca="false">IF($L231&lt;&gt;"Planned","",IF(N($H231)&lt;=0,"Stockout",IF(N($H231)&lt;$S231*0.5,"Critical",IF(N($H231)&lt;=$S231,"Low",IF(N($H231)&gt;$U231,"Over top of green","OK")))))</f>
        <v/>
      </c>
      <c r="AE231" s="8" t="str">
        <f aca="false">IF($A231="","",$A231&amp;"")</f>
        <v/>
      </c>
      <c r="AF231" s="8" t="str">
        <f aca="false">IF($A231="","",SUBSTITUTE(SUBSTITUTE(SUBSTITUTE($A231&amp;"","~","~~"),"*","~*"),"?","~?"))</f>
        <v/>
      </c>
    </row>
    <row r="232" customFormat="false" ht="15" hidden="false" customHeight="false" outlineLevel="0" collapsed="false">
      <c r="A232" s="11"/>
      <c r="B232" s="11"/>
      <c r="C232" s="11"/>
      <c r="D232" s="16"/>
      <c r="E232" s="11"/>
      <c r="F232" s="11"/>
      <c r="G232" s="9"/>
      <c r="H232" s="11"/>
      <c r="I232" s="17"/>
      <c r="J232" s="18" t="str">
        <f aca="false">IF($A232="","",IF(COUNT(Usage!$C:$C)=0,"",MAX(0,SUMIFS(Usage!$C:$C,Usage!$A:$A,$AF232,Usage!$B:$B,"&gt;="&amp;(PlanDate-AduWindow),Usage!$B:$B,"&lt;"&amp;PlanDate))/AduWindow))</f>
        <v/>
      </c>
      <c r="K232" s="18" t="str">
        <f aca="false">IF($A232="","",IF(AND(ISNUMBER($I232),N($I232)&gt;=0),$I232,$J232))</f>
        <v/>
      </c>
      <c r="L232" s="19" t="str">
        <f aca="false">IF($A232="","",IF($K232="","Needs ADU",IF($K232&lt;=0,"No recent demand",IF(N($D232)&lt;=0,"Needs lead time","Planned"))))</f>
        <v/>
      </c>
      <c r="M232" s="8" t="str">
        <f aca="false">IF($A232="","",IF(ISNUMBER(MATCH($C232,Profiles!$A$2:$A$100,0)),$C232,DefaultProfile))</f>
        <v/>
      </c>
      <c r="N232" s="20" t="str">
        <f aca="false">IF($A232="","",INDEX(Profiles!$D$2:$D$100,MATCH($M232,Profiles!$A$2:$A$100,0)))</f>
        <v/>
      </c>
      <c r="O232" s="20" t="str">
        <f aca="false">IF($A232="","",INDEX(Profiles!$E$2:$E$100,MATCH($M232,Profiles!$A$2:$A$100,0)))</f>
        <v/>
      </c>
      <c r="P232" s="21" t="str">
        <f aca="false">IF($L232&lt;&gt;"Planned","",$K232*$D232*$N232*(1+$O232))</f>
        <v/>
      </c>
      <c r="Q232" s="21" t="str">
        <f aca="false">IF($L232&lt;&gt;"Planned","",$K232*$D232)</f>
        <v/>
      </c>
      <c r="R232" s="21" t="str">
        <f aca="false">IF($L232&lt;&gt;"Planned","",MAX(N($E232),$K232*$D232*$N232,$K232*N($G232)))</f>
        <v/>
      </c>
      <c r="S232" s="21" t="str">
        <f aca="false">IF($L232&lt;&gt;"Planned","",$P232)</f>
        <v/>
      </c>
      <c r="T232" s="21" t="str">
        <f aca="false">IF($L232&lt;&gt;"Planned","",$P232+$Q232)</f>
        <v/>
      </c>
      <c r="U232" s="21" t="str">
        <f aca="false">IF($L232&lt;&gt;"Planned","",$T232+$R232)</f>
        <v/>
      </c>
      <c r="V232" s="8" t="str">
        <f aca="false">IF($A232="","",SUMIFS('Open supply'!$C:$C,'Open supply'!$A:$A,$AF232))</f>
        <v/>
      </c>
      <c r="W232" s="8" t="str">
        <f aca="false">IF($A232="","",SUMIFS('Open supply'!$C:$C,'Open supply'!$A:$A,$AF232,'Open supply'!$B:$B,"&lt;"&amp;PlanDate))</f>
        <v/>
      </c>
      <c r="X232" s="8" t="str">
        <f aca="false">IF($A232="","",SUMIFS('Open demand'!$G:$G,'Open demand'!$A:$A,$AF232))</f>
        <v/>
      </c>
      <c r="Y232" s="8" t="str">
        <f aca="false">IF($L232&lt;&gt;"Planned","",N($H232)+$V232-$X232)</f>
        <v/>
      </c>
      <c r="Z232" s="19" t="str">
        <f aca="false">IF($L232&lt;&gt;"Planned","",IF($Y232&lt;=$S232,"Red",IF($Y232&lt;=$T232,"Yellow",IF($Y232&lt;=$U232,"Green","Above green"))))</f>
        <v/>
      </c>
      <c r="AA232" s="22" t="str">
        <f aca="false">IF(OR($L232&lt;&gt;"Planned",N($U232)&lt;=0),"",$Y232/$U232)</f>
        <v/>
      </c>
      <c r="AB232" s="8" t="str">
        <f aca="false">IF($L232&lt;&gt;"Planned","",IF($Y232&lt;=$T232,ROUNDUP(MAX($U232-$Y232,N($E232))/IF(N($F232)&gt;0,$F232,1)-0.000000001,0)*IF(N($F232)&gt;0,$F232,1),""))</f>
        <v/>
      </c>
      <c r="AC232" s="23" t="str">
        <f aca="false">IF(N($AB232)&gt;0,PlanDate+ROUNDUP($D232,0),"")</f>
        <v/>
      </c>
      <c r="AD232" s="19" t="str">
        <f aca="false">IF($L232&lt;&gt;"Planned","",IF(N($H232)&lt;=0,"Stockout",IF(N($H232)&lt;$S232*0.5,"Critical",IF(N($H232)&lt;=$S232,"Low",IF(N($H232)&gt;$U232,"Over top of green","OK")))))</f>
        <v/>
      </c>
      <c r="AE232" s="8" t="str">
        <f aca="false">IF($A232="","",$A232&amp;"")</f>
        <v/>
      </c>
      <c r="AF232" s="8" t="str">
        <f aca="false">IF($A232="","",SUBSTITUTE(SUBSTITUTE(SUBSTITUTE($A232&amp;"","~","~~"),"*","~*"),"?","~?"))</f>
        <v/>
      </c>
    </row>
    <row r="233" customFormat="false" ht="15" hidden="false" customHeight="false" outlineLevel="0" collapsed="false">
      <c r="A233" s="11"/>
      <c r="B233" s="11"/>
      <c r="C233" s="11"/>
      <c r="D233" s="16"/>
      <c r="E233" s="11"/>
      <c r="F233" s="11"/>
      <c r="G233" s="9"/>
      <c r="H233" s="11"/>
      <c r="I233" s="17"/>
      <c r="J233" s="18" t="str">
        <f aca="false">IF($A233="","",IF(COUNT(Usage!$C:$C)=0,"",MAX(0,SUMIFS(Usage!$C:$C,Usage!$A:$A,$AF233,Usage!$B:$B,"&gt;="&amp;(PlanDate-AduWindow),Usage!$B:$B,"&lt;"&amp;PlanDate))/AduWindow))</f>
        <v/>
      </c>
      <c r="K233" s="18" t="str">
        <f aca="false">IF($A233="","",IF(AND(ISNUMBER($I233),N($I233)&gt;=0),$I233,$J233))</f>
        <v/>
      </c>
      <c r="L233" s="19" t="str">
        <f aca="false">IF($A233="","",IF($K233="","Needs ADU",IF($K233&lt;=0,"No recent demand",IF(N($D233)&lt;=0,"Needs lead time","Planned"))))</f>
        <v/>
      </c>
      <c r="M233" s="8" t="str">
        <f aca="false">IF($A233="","",IF(ISNUMBER(MATCH($C233,Profiles!$A$2:$A$100,0)),$C233,DefaultProfile))</f>
        <v/>
      </c>
      <c r="N233" s="20" t="str">
        <f aca="false">IF($A233="","",INDEX(Profiles!$D$2:$D$100,MATCH($M233,Profiles!$A$2:$A$100,0)))</f>
        <v/>
      </c>
      <c r="O233" s="20" t="str">
        <f aca="false">IF($A233="","",INDEX(Profiles!$E$2:$E$100,MATCH($M233,Profiles!$A$2:$A$100,0)))</f>
        <v/>
      </c>
      <c r="P233" s="21" t="str">
        <f aca="false">IF($L233&lt;&gt;"Planned","",$K233*$D233*$N233*(1+$O233))</f>
        <v/>
      </c>
      <c r="Q233" s="21" t="str">
        <f aca="false">IF($L233&lt;&gt;"Planned","",$K233*$D233)</f>
        <v/>
      </c>
      <c r="R233" s="21" t="str">
        <f aca="false">IF($L233&lt;&gt;"Planned","",MAX(N($E233),$K233*$D233*$N233,$K233*N($G233)))</f>
        <v/>
      </c>
      <c r="S233" s="21" t="str">
        <f aca="false">IF($L233&lt;&gt;"Planned","",$P233)</f>
        <v/>
      </c>
      <c r="T233" s="21" t="str">
        <f aca="false">IF($L233&lt;&gt;"Planned","",$P233+$Q233)</f>
        <v/>
      </c>
      <c r="U233" s="21" t="str">
        <f aca="false">IF($L233&lt;&gt;"Planned","",$T233+$R233)</f>
        <v/>
      </c>
      <c r="V233" s="8" t="str">
        <f aca="false">IF($A233="","",SUMIFS('Open supply'!$C:$C,'Open supply'!$A:$A,$AF233))</f>
        <v/>
      </c>
      <c r="W233" s="8" t="str">
        <f aca="false">IF($A233="","",SUMIFS('Open supply'!$C:$C,'Open supply'!$A:$A,$AF233,'Open supply'!$B:$B,"&lt;"&amp;PlanDate))</f>
        <v/>
      </c>
      <c r="X233" s="8" t="str">
        <f aca="false">IF($A233="","",SUMIFS('Open demand'!$G:$G,'Open demand'!$A:$A,$AF233))</f>
        <v/>
      </c>
      <c r="Y233" s="8" t="str">
        <f aca="false">IF($L233&lt;&gt;"Planned","",N($H233)+$V233-$X233)</f>
        <v/>
      </c>
      <c r="Z233" s="19" t="str">
        <f aca="false">IF($L233&lt;&gt;"Planned","",IF($Y233&lt;=$S233,"Red",IF($Y233&lt;=$T233,"Yellow",IF($Y233&lt;=$U233,"Green","Above green"))))</f>
        <v/>
      </c>
      <c r="AA233" s="22" t="str">
        <f aca="false">IF(OR($L233&lt;&gt;"Planned",N($U233)&lt;=0),"",$Y233/$U233)</f>
        <v/>
      </c>
      <c r="AB233" s="8" t="str">
        <f aca="false">IF($L233&lt;&gt;"Planned","",IF($Y233&lt;=$T233,ROUNDUP(MAX($U233-$Y233,N($E233))/IF(N($F233)&gt;0,$F233,1)-0.000000001,0)*IF(N($F233)&gt;0,$F233,1),""))</f>
        <v/>
      </c>
      <c r="AC233" s="23" t="str">
        <f aca="false">IF(N($AB233)&gt;0,PlanDate+ROUNDUP($D233,0),"")</f>
        <v/>
      </c>
      <c r="AD233" s="19" t="str">
        <f aca="false">IF($L233&lt;&gt;"Planned","",IF(N($H233)&lt;=0,"Stockout",IF(N($H233)&lt;$S233*0.5,"Critical",IF(N($H233)&lt;=$S233,"Low",IF(N($H233)&gt;$U233,"Over top of green","OK")))))</f>
        <v/>
      </c>
      <c r="AE233" s="8" t="str">
        <f aca="false">IF($A233="","",$A233&amp;"")</f>
        <v/>
      </c>
      <c r="AF233" s="8" t="str">
        <f aca="false">IF($A233="","",SUBSTITUTE(SUBSTITUTE(SUBSTITUTE($A233&amp;"","~","~~"),"*","~*"),"?","~?"))</f>
        <v/>
      </c>
    </row>
    <row r="234" customFormat="false" ht="15" hidden="false" customHeight="false" outlineLevel="0" collapsed="false">
      <c r="A234" s="11"/>
      <c r="B234" s="11"/>
      <c r="C234" s="11"/>
      <c r="D234" s="16"/>
      <c r="E234" s="11"/>
      <c r="F234" s="11"/>
      <c r="G234" s="9"/>
      <c r="H234" s="11"/>
      <c r="I234" s="17"/>
      <c r="J234" s="18" t="str">
        <f aca="false">IF($A234="","",IF(COUNT(Usage!$C:$C)=0,"",MAX(0,SUMIFS(Usage!$C:$C,Usage!$A:$A,$AF234,Usage!$B:$B,"&gt;="&amp;(PlanDate-AduWindow),Usage!$B:$B,"&lt;"&amp;PlanDate))/AduWindow))</f>
        <v/>
      </c>
      <c r="K234" s="18" t="str">
        <f aca="false">IF($A234="","",IF(AND(ISNUMBER($I234),N($I234)&gt;=0),$I234,$J234))</f>
        <v/>
      </c>
      <c r="L234" s="19" t="str">
        <f aca="false">IF($A234="","",IF($K234="","Needs ADU",IF($K234&lt;=0,"No recent demand",IF(N($D234)&lt;=0,"Needs lead time","Planned"))))</f>
        <v/>
      </c>
      <c r="M234" s="8" t="str">
        <f aca="false">IF($A234="","",IF(ISNUMBER(MATCH($C234,Profiles!$A$2:$A$100,0)),$C234,DefaultProfile))</f>
        <v/>
      </c>
      <c r="N234" s="20" t="str">
        <f aca="false">IF($A234="","",INDEX(Profiles!$D$2:$D$100,MATCH($M234,Profiles!$A$2:$A$100,0)))</f>
        <v/>
      </c>
      <c r="O234" s="20" t="str">
        <f aca="false">IF($A234="","",INDEX(Profiles!$E$2:$E$100,MATCH($M234,Profiles!$A$2:$A$100,0)))</f>
        <v/>
      </c>
      <c r="P234" s="21" t="str">
        <f aca="false">IF($L234&lt;&gt;"Planned","",$K234*$D234*$N234*(1+$O234))</f>
        <v/>
      </c>
      <c r="Q234" s="21" t="str">
        <f aca="false">IF($L234&lt;&gt;"Planned","",$K234*$D234)</f>
        <v/>
      </c>
      <c r="R234" s="21" t="str">
        <f aca="false">IF($L234&lt;&gt;"Planned","",MAX(N($E234),$K234*$D234*$N234,$K234*N($G234)))</f>
        <v/>
      </c>
      <c r="S234" s="21" t="str">
        <f aca="false">IF($L234&lt;&gt;"Planned","",$P234)</f>
        <v/>
      </c>
      <c r="T234" s="21" t="str">
        <f aca="false">IF($L234&lt;&gt;"Planned","",$P234+$Q234)</f>
        <v/>
      </c>
      <c r="U234" s="21" t="str">
        <f aca="false">IF($L234&lt;&gt;"Planned","",$T234+$R234)</f>
        <v/>
      </c>
      <c r="V234" s="8" t="str">
        <f aca="false">IF($A234="","",SUMIFS('Open supply'!$C:$C,'Open supply'!$A:$A,$AF234))</f>
        <v/>
      </c>
      <c r="W234" s="8" t="str">
        <f aca="false">IF($A234="","",SUMIFS('Open supply'!$C:$C,'Open supply'!$A:$A,$AF234,'Open supply'!$B:$B,"&lt;"&amp;PlanDate))</f>
        <v/>
      </c>
      <c r="X234" s="8" t="str">
        <f aca="false">IF($A234="","",SUMIFS('Open demand'!$G:$G,'Open demand'!$A:$A,$AF234))</f>
        <v/>
      </c>
      <c r="Y234" s="8" t="str">
        <f aca="false">IF($L234&lt;&gt;"Planned","",N($H234)+$V234-$X234)</f>
        <v/>
      </c>
      <c r="Z234" s="19" t="str">
        <f aca="false">IF($L234&lt;&gt;"Planned","",IF($Y234&lt;=$S234,"Red",IF($Y234&lt;=$T234,"Yellow",IF($Y234&lt;=$U234,"Green","Above green"))))</f>
        <v/>
      </c>
      <c r="AA234" s="22" t="str">
        <f aca="false">IF(OR($L234&lt;&gt;"Planned",N($U234)&lt;=0),"",$Y234/$U234)</f>
        <v/>
      </c>
      <c r="AB234" s="8" t="str">
        <f aca="false">IF($L234&lt;&gt;"Planned","",IF($Y234&lt;=$T234,ROUNDUP(MAX($U234-$Y234,N($E234))/IF(N($F234)&gt;0,$F234,1)-0.000000001,0)*IF(N($F234)&gt;0,$F234,1),""))</f>
        <v/>
      </c>
      <c r="AC234" s="23" t="str">
        <f aca="false">IF(N($AB234)&gt;0,PlanDate+ROUNDUP($D234,0),"")</f>
        <v/>
      </c>
      <c r="AD234" s="19" t="str">
        <f aca="false">IF($L234&lt;&gt;"Planned","",IF(N($H234)&lt;=0,"Stockout",IF(N($H234)&lt;$S234*0.5,"Critical",IF(N($H234)&lt;=$S234,"Low",IF(N($H234)&gt;$U234,"Over top of green","OK")))))</f>
        <v/>
      </c>
      <c r="AE234" s="8" t="str">
        <f aca="false">IF($A234="","",$A234&amp;"")</f>
        <v/>
      </c>
      <c r="AF234" s="8" t="str">
        <f aca="false">IF($A234="","",SUBSTITUTE(SUBSTITUTE(SUBSTITUTE($A234&amp;"","~","~~"),"*","~*"),"?","~?"))</f>
        <v/>
      </c>
    </row>
    <row r="235" customFormat="false" ht="15" hidden="false" customHeight="false" outlineLevel="0" collapsed="false">
      <c r="A235" s="11"/>
      <c r="B235" s="11"/>
      <c r="C235" s="11"/>
      <c r="D235" s="16"/>
      <c r="E235" s="11"/>
      <c r="F235" s="11"/>
      <c r="G235" s="9"/>
      <c r="H235" s="11"/>
      <c r="I235" s="17"/>
      <c r="J235" s="18" t="str">
        <f aca="false">IF($A235="","",IF(COUNT(Usage!$C:$C)=0,"",MAX(0,SUMIFS(Usage!$C:$C,Usage!$A:$A,$AF235,Usage!$B:$B,"&gt;="&amp;(PlanDate-AduWindow),Usage!$B:$B,"&lt;"&amp;PlanDate))/AduWindow))</f>
        <v/>
      </c>
      <c r="K235" s="18" t="str">
        <f aca="false">IF($A235="","",IF(AND(ISNUMBER($I235),N($I235)&gt;=0),$I235,$J235))</f>
        <v/>
      </c>
      <c r="L235" s="19" t="str">
        <f aca="false">IF($A235="","",IF($K235="","Needs ADU",IF($K235&lt;=0,"No recent demand",IF(N($D235)&lt;=0,"Needs lead time","Planned"))))</f>
        <v/>
      </c>
      <c r="M235" s="8" t="str">
        <f aca="false">IF($A235="","",IF(ISNUMBER(MATCH($C235,Profiles!$A$2:$A$100,0)),$C235,DefaultProfile))</f>
        <v/>
      </c>
      <c r="N235" s="20" t="str">
        <f aca="false">IF($A235="","",INDEX(Profiles!$D$2:$D$100,MATCH($M235,Profiles!$A$2:$A$100,0)))</f>
        <v/>
      </c>
      <c r="O235" s="20" t="str">
        <f aca="false">IF($A235="","",INDEX(Profiles!$E$2:$E$100,MATCH($M235,Profiles!$A$2:$A$100,0)))</f>
        <v/>
      </c>
      <c r="P235" s="21" t="str">
        <f aca="false">IF($L235&lt;&gt;"Planned","",$K235*$D235*$N235*(1+$O235))</f>
        <v/>
      </c>
      <c r="Q235" s="21" t="str">
        <f aca="false">IF($L235&lt;&gt;"Planned","",$K235*$D235)</f>
        <v/>
      </c>
      <c r="R235" s="21" t="str">
        <f aca="false">IF($L235&lt;&gt;"Planned","",MAX(N($E235),$K235*$D235*$N235,$K235*N($G235)))</f>
        <v/>
      </c>
      <c r="S235" s="21" t="str">
        <f aca="false">IF($L235&lt;&gt;"Planned","",$P235)</f>
        <v/>
      </c>
      <c r="T235" s="21" t="str">
        <f aca="false">IF($L235&lt;&gt;"Planned","",$P235+$Q235)</f>
        <v/>
      </c>
      <c r="U235" s="21" t="str">
        <f aca="false">IF($L235&lt;&gt;"Planned","",$T235+$R235)</f>
        <v/>
      </c>
      <c r="V235" s="8" t="str">
        <f aca="false">IF($A235="","",SUMIFS('Open supply'!$C:$C,'Open supply'!$A:$A,$AF235))</f>
        <v/>
      </c>
      <c r="W235" s="8" t="str">
        <f aca="false">IF($A235="","",SUMIFS('Open supply'!$C:$C,'Open supply'!$A:$A,$AF235,'Open supply'!$B:$B,"&lt;"&amp;PlanDate))</f>
        <v/>
      </c>
      <c r="X235" s="8" t="str">
        <f aca="false">IF($A235="","",SUMIFS('Open demand'!$G:$G,'Open demand'!$A:$A,$AF235))</f>
        <v/>
      </c>
      <c r="Y235" s="8" t="str">
        <f aca="false">IF($L235&lt;&gt;"Planned","",N($H235)+$V235-$X235)</f>
        <v/>
      </c>
      <c r="Z235" s="19" t="str">
        <f aca="false">IF($L235&lt;&gt;"Planned","",IF($Y235&lt;=$S235,"Red",IF($Y235&lt;=$T235,"Yellow",IF($Y235&lt;=$U235,"Green","Above green"))))</f>
        <v/>
      </c>
      <c r="AA235" s="22" t="str">
        <f aca="false">IF(OR($L235&lt;&gt;"Planned",N($U235)&lt;=0),"",$Y235/$U235)</f>
        <v/>
      </c>
      <c r="AB235" s="8" t="str">
        <f aca="false">IF($L235&lt;&gt;"Planned","",IF($Y235&lt;=$T235,ROUNDUP(MAX($U235-$Y235,N($E235))/IF(N($F235)&gt;0,$F235,1)-0.000000001,0)*IF(N($F235)&gt;0,$F235,1),""))</f>
        <v/>
      </c>
      <c r="AC235" s="23" t="str">
        <f aca="false">IF(N($AB235)&gt;0,PlanDate+ROUNDUP($D235,0),"")</f>
        <v/>
      </c>
      <c r="AD235" s="19" t="str">
        <f aca="false">IF($L235&lt;&gt;"Planned","",IF(N($H235)&lt;=0,"Stockout",IF(N($H235)&lt;$S235*0.5,"Critical",IF(N($H235)&lt;=$S235,"Low",IF(N($H235)&gt;$U235,"Over top of green","OK")))))</f>
        <v/>
      </c>
      <c r="AE235" s="8" t="str">
        <f aca="false">IF($A235="","",$A235&amp;"")</f>
        <v/>
      </c>
      <c r="AF235" s="8" t="str">
        <f aca="false">IF($A235="","",SUBSTITUTE(SUBSTITUTE(SUBSTITUTE($A235&amp;"","~","~~"),"*","~*"),"?","~?"))</f>
        <v/>
      </c>
    </row>
    <row r="236" customFormat="false" ht="15" hidden="false" customHeight="false" outlineLevel="0" collapsed="false">
      <c r="A236" s="11"/>
      <c r="B236" s="11"/>
      <c r="C236" s="11"/>
      <c r="D236" s="16"/>
      <c r="E236" s="11"/>
      <c r="F236" s="11"/>
      <c r="G236" s="9"/>
      <c r="H236" s="11"/>
      <c r="I236" s="17"/>
      <c r="J236" s="18" t="str">
        <f aca="false">IF($A236="","",IF(COUNT(Usage!$C:$C)=0,"",MAX(0,SUMIFS(Usage!$C:$C,Usage!$A:$A,$AF236,Usage!$B:$B,"&gt;="&amp;(PlanDate-AduWindow),Usage!$B:$B,"&lt;"&amp;PlanDate))/AduWindow))</f>
        <v/>
      </c>
      <c r="K236" s="18" t="str">
        <f aca="false">IF($A236="","",IF(AND(ISNUMBER($I236),N($I236)&gt;=0),$I236,$J236))</f>
        <v/>
      </c>
      <c r="L236" s="19" t="str">
        <f aca="false">IF($A236="","",IF($K236="","Needs ADU",IF($K236&lt;=0,"No recent demand",IF(N($D236)&lt;=0,"Needs lead time","Planned"))))</f>
        <v/>
      </c>
      <c r="M236" s="8" t="str">
        <f aca="false">IF($A236="","",IF(ISNUMBER(MATCH($C236,Profiles!$A$2:$A$100,0)),$C236,DefaultProfile))</f>
        <v/>
      </c>
      <c r="N236" s="20" t="str">
        <f aca="false">IF($A236="","",INDEX(Profiles!$D$2:$D$100,MATCH($M236,Profiles!$A$2:$A$100,0)))</f>
        <v/>
      </c>
      <c r="O236" s="20" t="str">
        <f aca="false">IF($A236="","",INDEX(Profiles!$E$2:$E$100,MATCH($M236,Profiles!$A$2:$A$100,0)))</f>
        <v/>
      </c>
      <c r="P236" s="21" t="str">
        <f aca="false">IF($L236&lt;&gt;"Planned","",$K236*$D236*$N236*(1+$O236))</f>
        <v/>
      </c>
      <c r="Q236" s="21" t="str">
        <f aca="false">IF($L236&lt;&gt;"Planned","",$K236*$D236)</f>
        <v/>
      </c>
      <c r="R236" s="21" t="str">
        <f aca="false">IF($L236&lt;&gt;"Planned","",MAX(N($E236),$K236*$D236*$N236,$K236*N($G236)))</f>
        <v/>
      </c>
      <c r="S236" s="21" t="str">
        <f aca="false">IF($L236&lt;&gt;"Planned","",$P236)</f>
        <v/>
      </c>
      <c r="T236" s="21" t="str">
        <f aca="false">IF($L236&lt;&gt;"Planned","",$P236+$Q236)</f>
        <v/>
      </c>
      <c r="U236" s="21" t="str">
        <f aca="false">IF($L236&lt;&gt;"Planned","",$T236+$R236)</f>
        <v/>
      </c>
      <c r="V236" s="8" t="str">
        <f aca="false">IF($A236="","",SUMIFS('Open supply'!$C:$C,'Open supply'!$A:$A,$AF236))</f>
        <v/>
      </c>
      <c r="W236" s="8" t="str">
        <f aca="false">IF($A236="","",SUMIFS('Open supply'!$C:$C,'Open supply'!$A:$A,$AF236,'Open supply'!$B:$B,"&lt;"&amp;PlanDate))</f>
        <v/>
      </c>
      <c r="X236" s="8" t="str">
        <f aca="false">IF($A236="","",SUMIFS('Open demand'!$G:$G,'Open demand'!$A:$A,$AF236))</f>
        <v/>
      </c>
      <c r="Y236" s="8" t="str">
        <f aca="false">IF($L236&lt;&gt;"Planned","",N($H236)+$V236-$X236)</f>
        <v/>
      </c>
      <c r="Z236" s="19" t="str">
        <f aca="false">IF($L236&lt;&gt;"Planned","",IF($Y236&lt;=$S236,"Red",IF($Y236&lt;=$T236,"Yellow",IF($Y236&lt;=$U236,"Green","Above green"))))</f>
        <v/>
      </c>
      <c r="AA236" s="22" t="str">
        <f aca="false">IF(OR($L236&lt;&gt;"Planned",N($U236)&lt;=0),"",$Y236/$U236)</f>
        <v/>
      </c>
      <c r="AB236" s="8" t="str">
        <f aca="false">IF($L236&lt;&gt;"Planned","",IF($Y236&lt;=$T236,ROUNDUP(MAX($U236-$Y236,N($E236))/IF(N($F236)&gt;0,$F236,1)-0.000000001,0)*IF(N($F236)&gt;0,$F236,1),""))</f>
        <v/>
      </c>
      <c r="AC236" s="23" t="str">
        <f aca="false">IF(N($AB236)&gt;0,PlanDate+ROUNDUP($D236,0),"")</f>
        <v/>
      </c>
      <c r="AD236" s="19" t="str">
        <f aca="false">IF($L236&lt;&gt;"Planned","",IF(N($H236)&lt;=0,"Stockout",IF(N($H236)&lt;$S236*0.5,"Critical",IF(N($H236)&lt;=$S236,"Low",IF(N($H236)&gt;$U236,"Over top of green","OK")))))</f>
        <v/>
      </c>
      <c r="AE236" s="8" t="str">
        <f aca="false">IF($A236="","",$A236&amp;"")</f>
        <v/>
      </c>
      <c r="AF236" s="8" t="str">
        <f aca="false">IF($A236="","",SUBSTITUTE(SUBSTITUTE(SUBSTITUTE($A236&amp;"","~","~~"),"*","~*"),"?","~?"))</f>
        <v/>
      </c>
    </row>
    <row r="237" customFormat="false" ht="15" hidden="false" customHeight="false" outlineLevel="0" collapsed="false">
      <c r="A237" s="11"/>
      <c r="B237" s="11"/>
      <c r="C237" s="11"/>
      <c r="D237" s="16"/>
      <c r="E237" s="11"/>
      <c r="F237" s="11"/>
      <c r="G237" s="9"/>
      <c r="H237" s="11"/>
      <c r="I237" s="17"/>
      <c r="J237" s="18" t="str">
        <f aca="false">IF($A237="","",IF(COUNT(Usage!$C:$C)=0,"",MAX(0,SUMIFS(Usage!$C:$C,Usage!$A:$A,$AF237,Usage!$B:$B,"&gt;="&amp;(PlanDate-AduWindow),Usage!$B:$B,"&lt;"&amp;PlanDate))/AduWindow))</f>
        <v/>
      </c>
      <c r="K237" s="18" t="str">
        <f aca="false">IF($A237="","",IF(AND(ISNUMBER($I237),N($I237)&gt;=0),$I237,$J237))</f>
        <v/>
      </c>
      <c r="L237" s="19" t="str">
        <f aca="false">IF($A237="","",IF($K237="","Needs ADU",IF($K237&lt;=0,"No recent demand",IF(N($D237)&lt;=0,"Needs lead time","Planned"))))</f>
        <v/>
      </c>
      <c r="M237" s="8" t="str">
        <f aca="false">IF($A237="","",IF(ISNUMBER(MATCH($C237,Profiles!$A$2:$A$100,0)),$C237,DefaultProfile))</f>
        <v/>
      </c>
      <c r="N237" s="20" t="str">
        <f aca="false">IF($A237="","",INDEX(Profiles!$D$2:$D$100,MATCH($M237,Profiles!$A$2:$A$100,0)))</f>
        <v/>
      </c>
      <c r="O237" s="20" t="str">
        <f aca="false">IF($A237="","",INDEX(Profiles!$E$2:$E$100,MATCH($M237,Profiles!$A$2:$A$100,0)))</f>
        <v/>
      </c>
      <c r="P237" s="21" t="str">
        <f aca="false">IF($L237&lt;&gt;"Planned","",$K237*$D237*$N237*(1+$O237))</f>
        <v/>
      </c>
      <c r="Q237" s="21" t="str">
        <f aca="false">IF($L237&lt;&gt;"Planned","",$K237*$D237)</f>
        <v/>
      </c>
      <c r="R237" s="21" t="str">
        <f aca="false">IF($L237&lt;&gt;"Planned","",MAX(N($E237),$K237*$D237*$N237,$K237*N($G237)))</f>
        <v/>
      </c>
      <c r="S237" s="21" t="str">
        <f aca="false">IF($L237&lt;&gt;"Planned","",$P237)</f>
        <v/>
      </c>
      <c r="T237" s="21" t="str">
        <f aca="false">IF($L237&lt;&gt;"Planned","",$P237+$Q237)</f>
        <v/>
      </c>
      <c r="U237" s="21" t="str">
        <f aca="false">IF($L237&lt;&gt;"Planned","",$T237+$R237)</f>
        <v/>
      </c>
      <c r="V237" s="8" t="str">
        <f aca="false">IF($A237="","",SUMIFS('Open supply'!$C:$C,'Open supply'!$A:$A,$AF237))</f>
        <v/>
      </c>
      <c r="W237" s="8" t="str">
        <f aca="false">IF($A237="","",SUMIFS('Open supply'!$C:$C,'Open supply'!$A:$A,$AF237,'Open supply'!$B:$B,"&lt;"&amp;PlanDate))</f>
        <v/>
      </c>
      <c r="X237" s="8" t="str">
        <f aca="false">IF($A237="","",SUMIFS('Open demand'!$G:$G,'Open demand'!$A:$A,$AF237))</f>
        <v/>
      </c>
      <c r="Y237" s="8" t="str">
        <f aca="false">IF($L237&lt;&gt;"Planned","",N($H237)+$V237-$X237)</f>
        <v/>
      </c>
      <c r="Z237" s="19" t="str">
        <f aca="false">IF($L237&lt;&gt;"Planned","",IF($Y237&lt;=$S237,"Red",IF($Y237&lt;=$T237,"Yellow",IF($Y237&lt;=$U237,"Green","Above green"))))</f>
        <v/>
      </c>
      <c r="AA237" s="22" t="str">
        <f aca="false">IF(OR($L237&lt;&gt;"Planned",N($U237)&lt;=0),"",$Y237/$U237)</f>
        <v/>
      </c>
      <c r="AB237" s="8" t="str">
        <f aca="false">IF($L237&lt;&gt;"Planned","",IF($Y237&lt;=$T237,ROUNDUP(MAX($U237-$Y237,N($E237))/IF(N($F237)&gt;0,$F237,1)-0.000000001,0)*IF(N($F237)&gt;0,$F237,1),""))</f>
        <v/>
      </c>
      <c r="AC237" s="23" t="str">
        <f aca="false">IF(N($AB237)&gt;0,PlanDate+ROUNDUP($D237,0),"")</f>
        <v/>
      </c>
      <c r="AD237" s="19" t="str">
        <f aca="false">IF($L237&lt;&gt;"Planned","",IF(N($H237)&lt;=0,"Stockout",IF(N($H237)&lt;$S237*0.5,"Critical",IF(N($H237)&lt;=$S237,"Low",IF(N($H237)&gt;$U237,"Over top of green","OK")))))</f>
        <v/>
      </c>
      <c r="AE237" s="8" t="str">
        <f aca="false">IF($A237="","",$A237&amp;"")</f>
        <v/>
      </c>
      <c r="AF237" s="8" t="str">
        <f aca="false">IF($A237="","",SUBSTITUTE(SUBSTITUTE(SUBSTITUTE($A237&amp;"","~","~~"),"*","~*"),"?","~?"))</f>
        <v/>
      </c>
    </row>
    <row r="238" customFormat="false" ht="15" hidden="false" customHeight="false" outlineLevel="0" collapsed="false">
      <c r="A238" s="11"/>
      <c r="B238" s="11"/>
      <c r="C238" s="11"/>
      <c r="D238" s="16"/>
      <c r="E238" s="11"/>
      <c r="F238" s="11"/>
      <c r="G238" s="9"/>
      <c r="H238" s="11"/>
      <c r="I238" s="17"/>
      <c r="J238" s="18" t="str">
        <f aca="false">IF($A238="","",IF(COUNT(Usage!$C:$C)=0,"",MAX(0,SUMIFS(Usage!$C:$C,Usage!$A:$A,$AF238,Usage!$B:$B,"&gt;="&amp;(PlanDate-AduWindow),Usage!$B:$B,"&lt;"&amp;PlanDate))/AduWindow))</f>
        <v/>
      </c>
      <c r="K238" s="18" t="str">
        <f aca="false">IF($A238="","",IF(AND(ISNUMBER($I238),N($I238)&gt;=0),$I238,$J238))</f>
        <v/>
      </c>
      <c r="L238" s="19" t="str">
        <f aca="false">IF($A238="","",IF($K238="","Needs ADU",IF($K238&lt;=0,"No recent demand",IF(N($D238)&lt;=0,"Needs lead time","Planned"))))</f>
        <v/>
      </c>
      <c r="M238" s="8" t="str">
        <f aca="false">IF($A238="","",IF(ISNUMBER(MATCH($C238,Profiles!$A$2:$A$100,0)),$C238,DefaultProfile))</f>
        <v/>
      </c>
      <c r="N238" s="20" t="str">
        <f aca="false">IF($A238="","",INDEX(Profiles!$D$2:$D$100,MATCH($M238,Profiles!$A$2:$A$100,0)))</f>
        <v/>
      </c>
      <c r="O238" s="20" t="str">
        <f aca="false">IF($A238="","",INDEX(Profiles!$E$2:$E$100,MATCH($M238,Profiles!$A$2:$A$100,0)))</f>
        <v/>
      </c>
      <c r="P238" s="21" t="str">
        <f aca="false">IF($L238&lt;&gt;"Planned","",$K238*$D238*$N238*(1+$O238))</f>
        <v/>
      </c>
      <c r="Q238" s="21" t="str">
        <f aca="false">IF($L238&lt;&gt;"Planned","",$K238*$D238)</f>
        <v/>
      </c>
      <c r="R238" s="21" t="str">
        <f aca="false">IF($L238&lt;&gt;"Planned","",MAX(N($E238),$K238*$D238*$N238,$K238*N($G238)))</f>
        <v/>
      </c>
      <c r="S238" s="21" t="str">
        <f aca="false">IF($L238&lt;&gt;"Planned","",$P238)</f>
        <v/>
      </c>
      <c r="T238" s="21" t="str">
        <f aca="false">IF($L238&lt;&gt;"Planned","",$P238+$Q238)</f>
        <v/>
      </c>
      <c r="U238" s="21" t="str">
        <f aca="false">IF($L238&lt;&gt;"Planned","",$T238+$R238)</f>
        <v/>
      </c>
      <c r="V238" s="8" t="str">
        <f aca="false">IF($A238="","",SUMIFS('Open supply'!$C:$C,'Open supply'!$A:$A,$AF238))</f>
        <v/>
      </c>
      <c r="W238" s="8" t="str">
        <f aca="false">IF($A238="","",SUMIFS('Open supply'!$C:$C,'Open supply'!$A:$A,$AF238,'Open supply'!$B:$B,"&lt;"&amp;PlanDate))</f>
        <v/>
      </c>
      <c r="X238" s="8" t="str">
        <f aca="false">IF($A238="","",SUMIFS('Open demand'!$G:$G,'Open demand'!$A:$A,$AF238))</f>
        <v/>
      </c>
      <c r="Y238" s="8" t="str">
        <f aca="false">IF($L238&lt;&gt;"Planned","",N($H238)+$V238-$X238)</f>
        <v/>
      </c>
      <c r="Z238" s="19" t="str">
        <f aca="false">IF($L238&lt;&gt;"Planned","",IF($Y238&lt;=$S238,"Red",IF($Y238&lt;=$T238,"Yellow",IF($Y238&lt;=$U238,"Green","Above green"))))</f>
        <v/>
      </c>
      <c r="AA238" s="22" t="str">
        <f aca="false">IF(OR($L238&lt;&gt;"Planned",N($U238)&lt;=0),"",$Y238/$U238)</f>
        <v/>
      </c>
      <c r="AB238" s="8" t="str">
        <f aca="false">IF($L238&lt;&gt;"Planned","",IF($Y238&lt;=$T238,ROUNDUP(MAX($U238-$Y238,N($E238))/IF(N($F238)&gt;0,$F238,1)-0.000000001,0)*IF(N($F238)&gt;0,$F238,1),""))</f>
        <v/>
      </c>
      <c r="AC238" s="23" t="str">
        <f aca="false">IF(N($AB238)&gt;0,PlanDate+ROUNDUP($D238,0),"")</f>
        <v/>
      </c>
      <c r="AD238" s="19" t="str">
        <f aca="false">IF($L238&lt;&gt;"Planned","",IF(N($H238)&lt;=0,"Stockout",IF(N($H238)&lt;$S238*0.5,"Critical",IF(N($H238)&lt;=$S238,"Low",IF(N($H238)&gt;$U238,"Over top of green","OK")))))</f>
        <v/>
      </c>
      <c r="AE238" s="8" t="str">
        <f aca="false">IF($A238="","",$A238&amp;"")</f>
        <v/>
      </c>
      <c r="AF238" s="8" t="str">
        <f aca="false">IF($A238="","",SUBSTITUTE(SUBSTITUTE(SUBSTITUTE($A238&amp;"","~","~~"),"*","~*"),"?","~?"))</f>
        <v/>
      </c>
    </row>
    <row r="239" customFormat="false" ht="15" hidden="false" customHeight="false" outlineLevel="0" collapsed="false">
      <c r="A239" s="11"/>
      <c r="B239" s="11"/>
      <c r="C239" s="11"/>
      <c r="D239" s="16"/>
      <c r="E239" s="11"/>
      <c r="F239" s="11"/>
      <c r="G239" s="9"/>
      <c r="H239" s="11"/>
      <c r="I239" s="17"/>
      <c r="J239" s="18" t="str">
        <f aca="false">IF($A239="","",IF(COUNT(Usage!$C:$C)=0,"",MAX(0,SUMIFS(Usage!$C:$C,Usage!$A:$A,$AF239,Usage!$B:$B,"&gt;="&amp;(PlanDate-AduWindow),Usage!$B:$B,"&lt;"&amp;PlanDate))/AduWindow))</f>
        <v/>
      </c>
      <c r="K239" s="18" t="str">
        <f aca="false">IF($A239="","",IF(AND(ISNUMBER($I239),N($I239)&gt;=0),$I239,$J239))</f>
        <v/>
      </c>
      <c r="L239" s="19" t="str">
        <f aca="false">IF($A239="","",IF($K239="","Needs ADU",IF($K239&lt;=0,"No recent demand",IF(N($D239)&lt;=0,"Needs lead time","Planned"))))</f>
        <v/>
      </c>
      <c r="M239" s="8" t="str">
        <f aca="false">IF($A239="","",IF(ISNUMBER(MATCH($C239,Profiles!$A$2:$A$100,0)),$C239,DefaultProfile))</f>
        <v/>
      </c>
      <c r="N239" s="20" t="str">
        <f aca="false">IF($A239="","",INDEX(Profiles!$D$2:$D$100,MATCH($M239,Profiles!$A$2:$A$100,0)))</f>
        <v/>
      </c>
      <c r="O239" s="20" t="str">
        <f aca="false">IF($A239="","",INDEX(Profiles!$E$2:$E$100,MATCH($M239,Profiles!$A$2:$A$100,0)))</f>
        <v/>
      </c>
      <c r="P239" s="21" t="str">
        <f aca="false">IF($L239&lt;&gt;"Planned","",$K239*$D239*$N239*(1+$O239))</f>
        <v/>
      </c>
      <c r="Q239" s="21" t="str">
        <f aca="false">IF($L239&lt;&gt;"Planned","",$K239*$D239)</f>
        <v/>
      </c>
      <c r="R239" s="21" t="str">
        <f aca="false">IF($L239&lt;&gt;"Planned","",MAX(N($E239),$K239*$D239*$N239,$K239*N($G239)))</f>
        <v/>
      </c>
      <c r="S239" s="21" t="str">
        <f aca="false">IF($L239&lt;&gt;"Planned","",$P239)</f>
        <v/>
      </c>
      <c r="T239" s="21" t="str">
        <f aca="false">IF($L239&lt;&gt;"Planned","",$P239+$Q239)</f>
        <v/>
      </c>
      <c r="U239" s="21" t="str">
        <f aca="false">IF($L239&lt;&gt;"Planned","",$T239+$R239)</f>
        <v/>
      </c>
      <c r="V239" s="8" t="str">
        <f aca="false">IF($A239="","",SUMIFS('Open supply'!$C:$C,'Open supply'!$A:$A,$AF239))</f>
        <v/>
      </c>
      <c r="W239" s="8" t="str">
        <f aca="false">IF($A239="","",SUMIFS('Open supply'!$C:$C,'Open supply'!$A:$A,$AF239,'Open supply'!$B:$B,"&lt;"&amp;PlanDate))</f>
        <v/>
      </c>
      <c r="X239" s="8" t="str">
        <f aca="false">IF($A239="","",SUMIFS('Open demand'!$G:$G,'Open demand'!$A:$A,$AF239))</f>
        <v/>
      </c>
      <c r="Y239" s="8" t="str">
        <f aca="false">IF($L239&lt;&gt;"Planned","",N($H239)+$V239-$X239)</f>
        <v/>
      </c>
      <c r="Z239" s="19" t="str">
        <f aca="false">IF($L239&lt;&gt;"Planned","",IF($Y239&lt;=$S239,"Red",IF($Y239&lt;=$T239,"Yellow",IF($Y239&lt;=$U239,"Green","Above green"))))</f>
        <v/>
      </c>
      <c r="AA239" s="22" t="str">
        <f aca="false">IF(OR($L239&lt;&gt;"Planned",N($U239)&lt;=0),"",$Y239/$U239)</f>
        <v/>
      </c>
      <c r="AB239" s="8" t="str">
        <f aca="false">IF($L239&lt;&gt;"Planned","",IF($Y239&lt;=$T239,ROUNDUP(MAX($U239-$Y239,N($E239))/IF(N($F239)&gt;0,$F239,1)-0.000000001,0)*IF(N($F239)&gt;0,$F239,1),""))</f>
        <v/>
      </c>
      <c r="AC239" s="23" t="str">
        <f aca="false">IF(N($AB239)&gt;0,PlanDate+ROUNDUP($D239,0),"")</f>
        <v/>
      </c>
      <c r="AD239" s="19" t="str">
        <f aca="false">IF($L239&lt;&gt;"Planned","",IF(N($H239)&lt;=0,"Stockout",IF(N($H239)&lt;$S239*0.5,"Critical",IF(N($H239)&lt;=$S239,"Low",IF(N($H239)&gt;$U239,"Over top of green","OK")))))</f>
        <v/>
      </c>
      <c r="AE239" s="8" t="str">
        <f aca="false">IF($A239="","",$A239&amp;"")</f>
        <v/>
      </c>
      <c r="AF239" s="8" t="str">
        <f aca="false">IF($A239="","",SUBSTITUTE(SUBSTITUTE(SUBSTITUTE($A239&amp;"","~","~~"),"*","~*"),"?","~?"))</f>
        <v/>
      </c>
    </row>
    <row r="240" customFormat="false" ht="15" hidden="false" customHeight="false" outlineLevel="0" collapsed="false">
      <c r="A240" s="11"/>
      <c r="B240" s="11"/>
      <c r="C240" s="11"/>
      <c r="D240" s="16"/>
      <c r="E240" s="11"/>
      <c r="F240" s="11"/>
      <c r="G240" s="9"/>
      <c r="H240" s="11"/>
      <c r="I240" s="17"/>
      <c r="J240" s="18" t="str">
        <f aca="false">IF($A240="","",IF(COUNT(Usage!$C:$C)=0,"",MAX(0,SUMIFS(Usage!$C:$C,Usage!$A:$A,$AF240,Usage!$B:$B,"&gt;="&amp;(PlanDate-AduWindow),Usage!$B:$B,"&lt;"&amp;PlanDate))/AduWindow))</f>
        <v/>
      </c>
      <c r="K240" s="18" t="str">
        <f aca="false">IF($A240="","",IF(AND(ISNUMBER($I240),N($I240)&gt;=0),$I240,$J240))</f>
        <v/>
      </c>
      <c r="L240" s="19" t="str">
        <f aca="false">IF($A240="","",IF($K240="","Needs ADU",IF($K240&lt;=0,"No recent demand",IF(N($D240)&lt;=0,"Needs lead time","Planned"))))</f>
        <v/>
      </c>
      <c r="M240" s="8" t="str">
        <f aca="false">IF($A240="","",IF(ISNUMBER(MATCH($C240,Profiles!$A$2:$A$100,0)),$C240,DefaultProfile))</f>
        <v/>
      </c>
      <c r="N240" s="20" t="str">
        <f aca="false">IF($A240="","",INDEX(Profiles!$D$2:$D$100,MATCH($M240,Profiles!$A$2:$A$100,0)))</f>
        <v/>
      </c>
      <c r="O240" s="20" t="str">
        <f aca="false">IF($A240="","",INDEX(Profiles!$E$2:$E$100,MATCH($M240,Profiles!$A$2:$A$100,0)))</f>
        <v/>
      </c>
      <c r="P240" s="21" t="str">
        <f aca="false">IF($L240&lt;&gt;"Planned","",$K240*$D240*$N240*(1+$O240))</f>
        <v/>
      </c>
      <c r="Q240" s="21" t="str">
        <f aca="false">IF($L240&lt;&gt;"Planned","",$K240*$D240)</f>
        <v/>
      </c>
      <c r="R240" s="21" t="str">
        <f aca="false">IF($L240&lt;&gt;"Planned","",MAX(N($E240),$K240*$D240*$N240,$K240*N($G240)))</f>
        <v/>
      </c>
      <c r="S240" s="21" t="str">
        <f aca="false">IF($L240&lt;&gt;"Planned","",$P240)</f>
        <v/>
      </c>
      <c r="T240" s="21" t="str">
        <f aca="false">IF($L240&lt;&gt;"Planned","",$P240+$Q240)</f>
        <v/>
      </c>
      <c r="U240" s="21" t="str">
        <f aca="false">IF($L240&lt;&gt;"Planned","",$T240+$R240)</f>
        <v/>
      </c>
      <c r="V240" s="8" t="str">
        <f aca="false">IF($A240="","",SUMIFS('Open supply'!$C:$C,'Open supply'!$A:$A,$AF240))</f>
        <v/>
      </c>
      <c r="W240" s="8" t="str">
        <f aca="false">IF($A240="","",SUMIFS('Open supply'!$C:$C,'Open supply'!$A:$A,$AF240,'Open supply'!$B:$B,"&lt;"&amp;PlanDate))</f>
        <v/>
      </c>
      <c r="X240" s="8" t="str">
        <f aca="false">IF($A240="","",SUMIFS('Open demand'!$G:$G,'Open demand'!$A:$A,$AF240))</f>
        <v/>
      </c>
      <c r="Y240" s="8" t="str">
        <f aca="false">IF($L240&lt;&gt;"Planned","",N($H240)+$V240-$X240)</f>
        <v/>
      </c>
      <c r="Z240" s="19" t="str">
        <f aca="false">IF($L240&lt;&gt;"Planned","",IF($Y240&lt;=$S240,"Red",IF($Y240&lt;=$T240,"Yellow",IF($Y240&lt;=$U240,"Green","Above green"))))</f>
        <v/>
      </c>
      <c r="AA240" s="22" t="str">
        <f aca="false">IF(OR($L240&lt;&gt;"Planned",N($U240)&lt;=0),"",$Y240/$U240)</f>
        <v/>
      </c>
      <c r="AB240" s="8" t="str">
        <f aca="false">IF($L240&lt;&gt;"Planned","",IF($Y240&lt;=$T240,ROUNDUP(MAX($U240-$Y240,N($E240))/IF(N($F240)&gt;0,$F240,1)-0.000000001,0)*IF(N($F240)&gt;0,$F240,1),""))</f>
        <v/>
      </c>
      <c r="AC240" s="23" t="str">
        <f aca="false">IF(N($AB240)&gt;0,PlanDate+ROUNDUP($D240,0),"")</f>
        <v/>
      </c>
      <c r="AD240" s="19" t="str">
        <f aca="false">IF($L240&lt;&gt;"Planned","",IF(N($H240)&lt;=0,"Stockout",IF(N($H240)&lt;$S240*0.5,"Critical",IF(N($H240)&lt;=$S240,"Low",IF(N($H240)&gt;$U240,"Over top of green","OK")))))</f>
        <v/>
      </c>
      <c r="AE240" s="8" t="str">
        <f aca="false">IF($A240="","",$A240&amp;"")</f>
        <v/>
      </c>
      <c r="AF240" s="8" t="str">
        <f aca="false">IF($A240="","",SUBSTITUTE(SUBSTITUTE(SUBSTITUTE($A240&amp;"","~","~~"),"*","~*"),"?","~?"))</f>
        <v/>
      </c>
    </row>
    <row r="241" customFormat="false" ht="15" hidden="false" customHeight="false" outlineLevel="0" collapsed="false">
      <c r="A241" s="11"/>
      <c r="B241" s="11"/>
      <c r="C241" s="11"/>
      <c r="D241" s="16"/>
      <c r="E241" s="11"/>
      <c r="F241" s="11"/>
      <c r="G241" s="9"/>
      <c r="H241" s="11"/>
      <c r="I241" s="17"/>
      <c r="J241" s="18" t="str">
        <f aca="false">IF($A241="","",IF(COUNT(Usage!$C:$C)=0,"",MAX(0,SUMIFS(Usage!$C:$C,Usage!$A:$A,$AF241,Usage!$B:$B,"&gt;="&amp;(PlanDate-AduWindow),Usage!$B:$B,"&lt;"&amp;PlanDate))/AduWindow))</f>
        <v/>
      </c>
      <c r="K241" s="18" t="str">
        <f aca="false">IF($A241="","",IF(AND(ISNUMBER($I241),N($I241)&gt;=0),$I241,$J241))</f>
        <v/>
      </c>
      <c r="L241" s="19" t="str">
        <f aca="false">IF($A241="","",IF($K241="","Needs ADU",IF($K241&lt;=0,"No recent demand",IF(N($D241)&lt;=0,"Needs lead time","Planned"))))</f>
        <v/>
      </c>
      <c r="M241" s="8" t="str">
        <f aca="false">IF($A241="","",IF(ISNUMBER(MATCH($C241,Profiles!$A$2:$A$100,0)),$C241,DefaultProfile))</f>
        <v/>
      </c>
      <c r="N241" s="20" t="str">
        <f aca="false">IF($A241="","",INDEX(Profiles!$D$2:$D$100,MATCH($M241,Profiles!$A$2:$A$100,0)))</f>
        <v/>
      </c>
      <c r="O241" s="20" t="str">
        <f aca="false">IF($A241="","",INDEX(Profiles!$E$2:$E$100,MATCH($M241,Profiles!$A$2:$A$100,0)))</f>
        <v/>
      </c>
      <c r="P241" s="21" t="str">
        <f aca="false">IF($L241&lt;&gt;"Planned","",$K241*$D241*$N241*(1+$O241))</f>
        <v/>
      </c>
      <c r="Q241" s="21" t="str">
        <f aca="false">IF($L241&lt;&gt;"Planned","",$K241*$D241)</f>
        <v/>
      </c>
      <c r="R241" s="21" t="str">
        <f aca="false">IF($L241&lt;&gt;"Planned","",MAX(N($E241),$K241*$D241*$N241,$K241*N($G241)))</f>
        <v/>
      </c>
      <c r="S241" s="21" t="str">
        <f aca="false">IF($L241&lt;&gt;"Planned","",$P241)</f>
        <v/>
      </c>
      <c r="T241" s="21" t="str">
        <f aca="false">IF($L241&lt;&gt;"Planned","",$P241+$Q241)</f>
        <v/>
      </c>
      <c r="U241" s="21" t="str">
        <f aca="false">IF($L241&lt;&gt;"Planned","",$T241+$R241)</f>
        <v/>
      </c>
      <c r="V241" s="8" t="str">
        <f aca="false">IF($A241="","",SUMIFS('Open supply'!$C:$C,'Open supply'!$A:$A,$AF241))</f>
        <v/>
      </c>
      <c r="W241" s="8" t="str">
        <f aca="false">IF($A241="","",SUMIFS('Open supply'!$C:$C,'Open supply'!$A:$A,$AF241,'Open supply'!$B:$B,"&lt;"&amp;PlanDate))</f>
        <v/>
      </c>
      <c r="X241" s="8" t="str">
        <f aca="false">IF($A241="","",SUMIFS('Open demand'!$G:$G,'Open demand'!$A:$A,$AF241))</f>
        <v/>
      </c>
      <c r="Y241" s="8" t="str">
        <f aca="false">IF($L241&lt;&gt;"Planned","",N($H241)+$V241-$X241)</f>
        <v/>
      </c>
      <c r="Z241" s="19" t="str">
        <f aca="false">IF($L241&lt;&gt;"Planned","",IF($Y241&lt;=$S241,"Red",IF($Y241&lt;=$T241,"Yellow",IF($Y241&lt;=$U241,"Green","Above green"))))</f>
        <v/>
      </c>
      <c r="AA241" s="22" t="str">
        <f aca="false">IF(OR($L241&lt;&gt;"Planned",N($U241)&lt;=0),"",$Y241/$U241)</f>
        <v/>
      </c>
      <c r="AB241" s="8" t="str">
        <f aca="false">IF($L241&lt;&gt;"Planned","",IF($Y241&lt;=$T241,ROUNDUP(MAX($U241-$Y241,N($E241))/IF(N($F241)&gt;0,$F241,1)-0.000000001,0)*IF(N($F241)&gt;0,$F241,1),""))</f>
        <v/>
      </c>
      <c r="AC241" s="23" t="str">
        <f aca="false">IF(N($AB241)&gt;0,PlanDate+ROUNDUP($D241,0),"")</f>
        <v/>
      </c>
      <c r="AD241" s="19" t="str">
        <f aca="false">IF($L241&lt;&gt;"Planned","",IF(N($H241)&lt;=0,"Stockout",IF(N($H241)&lt;$S241*0.5,"Critical",IF(N($H241)&lt;=$S241,"Low",IF(N($H241)&gt;$U241,"Over top of green","OK")))))</f>
        <v/>
      </c>
      <c r="AE241" s="8" t="str">
        <f aca="false">IF($A241="","",$A241&amp;"")</f>
        <v/>
      </c>
      <c r="AF241" s="8" t="str">
        <f aca="false">IF($A241="","",SUBSTITUTE(SUBSTITUTE(SUBSTITUTE($A241&amp;"","~","~~"),"*","~*"),"?","~?"))</f>
        <v/>
      </c>
    </row>
    <row r="242" customFormat="false" ht="15" hidden="false" customHeight="false" outlineLevel="0" collapsed="false">
      <c r="A242" s="11"/>
      <c r="B242" s="11"/>
      <c r="C242" s="11"/>
      <c r="D242" s="16"/>
      <c r="E242" s="11"/>
      <c r="F242" s="11"/>
      <c r="G242" s="9"/>
      <c r="H242" s="11"/>
      <c r="I242" s="17"/>
      <c r="J242" s="18" t="str">
        <f aca="false">IF($A242="","",IF(COUNT(Usage!$C:$C)=0,"",MAX(0,SUMIFS(Usage!$C:$C,Usage!$A:$A,$AF242,Usage!$B:$B,"&gt;="&amp;(PlanDate-AduWindow),Usage!$B:$B,"&lt;"&amp;PlanDate))/AduWindow))</f>
        <v/>
      </c>
      <c r="K242" s="18" t="str">
        <f aca="false">IF($A242="","",IF(AND(ISNUMBER($I242),N($I242)&gt;=0),$I242,$J242))</f>
        <v/>
      </c>
      <c r="L242" s="19" t="str">
        <f aca="false">IF($A242="","",IF($K242="","Needs ADU",IF($K242&lt;=0,"No recent demand",IF(N($D242)&lt;=0,"Needs lead time","Planned"))))</f>
        <v/>
      </c>
      <c r="M242" s="8" t="str">
        <f aca="false">IF($A242="","",IF(ISNUMBER(MATCH($C242,Profiles!$A$2:$A$100,0)),$C242,DefaultProfile))</f>
        <v/>
      </c>
      <c r="N242" s="20" t="str">
        <f aca="false">IF($A242="","",INDEX(Profiles!$D$2:$D$100,MATCH($M242,Profiles!$A$2:$A$100,0)))</f>
        <v/>
      </c>
      <c r="O242" s="20" t="str">
        <f aca="false">IF($A242="","",INDEX(Profiles!$E$2:$E$100,MATCH($M242,Profiles!$A$2:$A$100,0)))</f>
        <v/>
      </c>
      <c r="P242" s="21" t="str">
        <f aca="false">IF($L242&lt;&gt;"Planned","",$K242*$D242*$N242*(1+$O242))</f>
        <v/>
      </c>
      <c r="Q242" s="21" t="str">
        <f aca="false">IF($L242&lt;&gt;"Planned","",$K242*$D242)</f>
        <v/>
      </c>
      <c r="R242" s="21" t="str">
        <f aca="false">IF($L242&lt;&gt;"Planned","",MAX(N($E242),$K242*$D242*$N242,$K242*N($G242)))</f>
        <v/>
      </c>
      <c r="S242" s="21" t="str">
        <f aca="false">IF($L242&lt;&gt;"Planned","",$P242)</f>
        <v/>
      </c>
      <c r="T242" s="21" t="str">
        <f aca="false">IF($L242&lt;&gt;"Planned","",$P242+$Q242)</f>
        <v/>
      </c>
      <c r="U242" s="21" t="str">
        <f aca="false">IF($L242&lt;&gt;"Planned","",$T242+$R242)</f>
        <v/>
      </c>
      <c r="V242" s="8" t="str">
        <f aca="false">IF($A242="","",SUMIFS('Open supply'!$C:$C,'Open supply'!$A:$A,$AF242))</f>
        <v/>
      </c>
      <c r="W242" s="8" t="str">
        <f aca="false">IF($A242="","",SUMIFS('Open supply'!$C:$C,'Open supply'!$A:$A,$AF242,'Open supply'!$B:$B,"&lt;"&amp;PlanDate))</f>
        <v/>
      </c>
      <c r="X242" s="8" t="str">
        <f aca="false">IF($A242="","",SUMIFS('Open demand'!$G:$G,'Open demand'!$A:$A,$AF242))</f>
        <v/>
      </c>
      <c r="Y242" s="8" t="str">
        <f aca="false">IF($L242&lt;&gt;"Planned","",N($H242)+$V242-$X242)</f>
        <v/>
      </c>
      <c r="Z242" s="19" t="str">
        <f aca="false">IF($L242&lt;&gt;"Planned","",IF($Y242&lt;=$S242,"Red",IF($Y242&lt;=$T242,"Yellow",IF($Y242&lt;=$U242,"Green","Above green"))))</f>
        <v/>
      </c>
      <c r="AA242" s="22" t="str">
        <f aca="false">IF(OR($L242&lt;&gt;"Planned",N($U242)&lt;=0),"",$Y242/$U242)</f>
        <v/>
      </c>
      <c r="AB242" s="8" t="str">
        <f aca="false">IF($L242&lt;&gt;"Planned","",IF($Y242&lt;=$T242,ROUNDUP(MAX($U242-$Y242,N($E242))/IF(N($F242)&gt;0,$F242,1)-0.000000001,0)*IF(N($F242)&gt;0,$F242,1),""))</f>
        <v/>
      </c>
      <c r="AC242" s="23" t="str">
        <f aca="false">IF(N($AB242)&gt;0,PlanDate+ROUNDUP($D242,0),"")</f>
        <v/>
      </c>
      <c r="AD242" s="19" t="str">
        <f aca="false">IF($L242&lt;&gt;"Planned","",IF(N($H242)&lt;=0,"Stockout",IF(N($H242)&lt;$S242*0.5,"Critical",IF(N($H242)&lt;=$S242,"Low",IF(N($H242)&gt;$U242,"Over top of green","OK")))))</f>
        <v/>
      </c>
      <c r="AE242" s="8" t="str">
        <f aca="false">IF($A242="","",$A242&amp;"")</f>
        <v/>
      </c>
      <c r="AF242" s="8" t="str">
        <f aca="false">IF($A242="","",SUBSTITUTE(SUBSTITUTE(SUBSTITUTE($A242&amp;"","~","~~"),"*","~*"),"?","~?"))</f>
        <v/>
      </c>
    </row>
    <row r="243" customFormat="false" ht="15" hidden="false" customHeight="false" outlineLevel="0" collapsed="false">
      <c r="A243" s="11"/>
      <c r="B243" s="11"/>
      <c r="C243" s="11"/>
      <c r="D243" s="16"/>
      <c r="E243" s="11"/>
      <c r="F243" s="11"/>
      <c r="G243" s="9"/>
      <c r="H243" s="11"/>
      <c r="I243" s="17"/>
      <c r="J243" s="18" t="str">
        <f aca="false">IF($A243="","",IF(COUNT(Usage!$C:$C)=0,"",MAX(0,SUMIFS(Usage!$C:$C,Usage!$A:$A,$AF243,Usage!$B:$B,"&gt;="&amp;(PlanDate-AduWindow),Usage!$B:$B,"&lt;"&amp;PlanDate))/AduWindow))</f>
        <v/>
      </c>
      <c r="K243" s="18" t="str">
        <f aca="false">IF($A243="","",IF(AND(ISNUMBER($I243),N($I243)&gt;=0),$I243,$J243))</f>
        <v/>
      </c>
      <c r="L243" s="19" t="str">
        <f aca="false">IF($A243="","",IF($K243="","Needs ADU",IF($K243&lt;=0,"No recent demand",IF(N($D243)&lt;=0,"Needs lead time","Planned"))))</f>
        <v/>
      </c>
      <c r="M243" s="8" t="str">
        <f aca="false">IF($A243="","",IF(ISNUMBER(MATCH($C243,Profiles!$A$2:$A$100,0)),$C243,DefaultProfile))</f>
        <v/>
      </c>
      <c r="N243" s="20" t="str">
        <f aca="false">IF($A243="","",INDEX(Profiles!$D$2:$D$100,MATCH($M243,Profiles!$A$2:$A$100,0)))</f>
        <v/>
      </c>
      <c r="O243" s="20" t="str">
        <f aca="false">IF($A243="","",INDEX(Profiles!$E$2:$E$100,MATCH($M243,Profiles!$A$2:$A$100,0)))</f>
        <v/>
      </c>
      <c r="P243" s="21" t="str">
        <f aca="false">IF($L243&lt;&gt;"Planned","",$K243*$D243*$N243*(1+$O243))</f>
        <v/>
      </c>
      <c r="Q243" s="21" t="str">
        <f aca="false">IF($L243&lt;&gt;"Planned","",$K243*$D243)</f>
        <v/>
      </c>
      <c r="R243" s="21" t="str">
        <f aca="false">IF($L243&lt;&gt;"Planned","",MAX(N($E243),$K243*$D243*$N243,$K243*N($G243)))</f>
        <v/>
      </c>
      <c r="S243" s="21" t="str">
        <f aca="false">IF($L243&lt;&gt;"Planned","",$P243)</f>
        <v/>
      </c>
      <c r="T243" s="21" t="str">
        <f aca="false">IF($L243&lt;&gt;"Planned","",$P243+$Q243)</f>
        <v/>
      </c>
      <c r="U243" s="21" t="str">
        <f aca="false">IF($L243&lt;&gt;"Planned","",$T243+$R243)</f>
        <v/>
      </c>
      <c r="V243" s="8" t="str">
        <f aca="false">IF($A243="","",SUMIFS('Open supply'!$C:$C,'Open supply'!$A:$A,$AF243))</f>
        <v/>
      </c>
      <c r="W243" s="8" t="str">
        <f aca="false">IF($A243="","",SUMIFS('Open supply'!$C:$C,'Open supply'!$A:$A,$AF243,'Open supply'!$B:$B,"&lt;"&amp;PlanDate))</f>
        <v/>
      </c>
      <c r="X243" s="8" t="str">
        <f aca="false">IF($A243="","",SUMIFS('Open demand'!$G:$G,'Open demand'!$A:$A,$AF243))</f>
        <v/>
      </c>
      <c r="Y243" s="8" t="str">
        <f aca="false">IF($L243&lt;&gt;"Planned","",N($H243)+$V243-$X243)</f>
        <v/>
      </c>
      <c r="Z243" s="19" t="str">
        <f aca="false">IF($L243&lt;&gt;"Planned","",IF($Y243&lt;=$S243,"Red",IF($Y243&lt;=$T243,"Yellow",IF($Y243&lt;=$U243,"Green","Above green"))))</f>
        <v/>
      </c>
      <c r="AA243" s="22" t="str">
        <f aca="false">IF(OR($L243&lt;&gt;"Planned",N($U243)&lt;=0),"",$Y243/$U243)</f>
        <v/>
      </c>
      <c r="AB243" s="8" t="str">
        <f aca="false">IF($L243&lt;&gt;"Planned","",IF($Y243&lt;=$T243,ROUNDUP(MAX($U243-$Y243,N($E243))/IF(N($F243)&gt;0,$F243,1)-0.000000001,0)*IF(N($F243)&gt;0,$F243,1),""))</f>
        <v/>
      </c>
      <c r="AC243" s="23" t="str">
        <f aca="false">IF(N($AB243)&gt;0,PlanDate+ROUNDUP($D243,0),"")</f>
        <v/>
      </c>
      <c r="AD243" s="19" t="str">
        <f aca="false">IF($L243&lt;&gt;"Planned","",IF(N($H243)&lt;=0,"Stockout",IF(N($H243)&lt;$S243*0.5,"Critical",IF(N($H243)&lt;=$S243,"Low",IF(N($H243)&gt;$U243,"Over top of green","OK")))))</f>
        <v/>
      </c>
      <c r="AE243" s="8" t="str">
        <f aca="false">IF($A243="","",$A243&amp;"")</f>
        <v/>
      </c>
      <c r="AF243" s="8" t="str">
        <f aca="false">IF($A243="","",SUBSTITUTE(SUBSTITUTE(SUBSTITUTE($A243&amp;"","~","~~"),"*","~*"),"?","~?"))</f>
        <v/>
      </c>
    </row>
    <row r="244" customFormat="false" ht="15" hidden="false" customHeight="false" outlineLevel="0" collapsed="false">
      <c r="A244" s="11"/>
      <c r="B244" s="11"/>
      <c r="C244" s="11"/>
      <c r="D244" s="16"/>
      <c r="E244" s="11"/>
      <c r="F244" s="11"/>
      <c r="G244" s="9"/>
      <c r="H244" s="11"/>
      <c r="I244" s="17"/>
      <c r="J244" s="18" t="str">
        <f aca="false">IF($A244="","",IF(COUNT(Usage!$C:$C)=0,"",MAX(0,SUMIFS(Usage!$C:$C,Usage!$A:$A,$AF244,Usage!$B:$B,"&gt;="&amp;(PlanDate-AduWindow),Usage!$B:$B,"&lt;"&amp;PlanDate))/AduWindow))</f>
        <v/>
      </c>
      <c r="K244" s="18" t="str">
        <f aca="false">IF($A244="","",IF(AND(ISNUMBER($I244),N($I244)&gt;=0),$I244,$J244))</f>
        <v/>
      </c>
      <c r="L244" s="19" t="str">
        <f aca="false">IF($A244="","",IF($K244="","Needs ADU",IF($K244&lt;=0,"No recent demand",IF(N($D244)&lt;=0,"Needs lead time","Planned"))))</f>
        <v/>
      </c>
      <c r="M244" s="8" t="str">
        <f aca="false">IF($A244="","",IF(ISNUMBER(MATCH($C244,Profiles!$A$2:$A$100,0)),$C244,DefaultProfile))</f>
        <v/>
      </c>
      <c r="N244" s="20" t="str">
        <f aca="false">IF($A244="","",INDEX(Profiles!$D$2:$D$100,MATCH($M244,Profiles!$A$2:$A$100,0)))</f>
        <v/>
      </c>
      <c r="O244" s="20" t="str">
        <f aca="false">IF($A244="","",INDEX(Profiles!$E$2:$E$100,MATCH($M244,Profiles!$A$2:$A$100,0)))</f>
        <v/>
      </c>
      <c r="P244" s="21" t="str">
        <f aca="false">IF($L244&lt;&gt;"Planned","",$K244*$D244*$N244*(1+$O244))</f>
        <v/>
      </c>
      <c r="Q244" s="21" t="str">
        <f aca="false">IF($L244&lt;&gt;"Planned","",$K244*$D244)</f>
        <v/>
      </c>
      <c r="R244" s="21" t="str">
        <f aca="false">IF($L244&lt;&gt;"Planned","",MAX(N($E244),$K244*$D244*$N244,$K244*N($G244)))</f>
        <v/>
      </c>
      <c r="S244" s="21" t="str">
        <f aca="false">IF($L244&lt;&gt;"Planned","",$P244)</f>
        <v/>
      </c>
      <c r="T244" s="21" t="str">
        <f aca="false">IF($L244&lt;&gt;"Planned","",$P244+$Q244)</f>
        <v/>
      </c>
      <c r="U244" s="21" t="str">
        <f aca="false">IF($L244&lt;&gt;"Planned","",$T244+$R244)</f>
        <v/>
      </c>
      <c r="V244" s="8" t="str">
        <f aca="false">IF($A244="","",SUMIFS('Open supply'!$C:$C,'Open supply'!$A:$A,$AF244))</f>
        <v/>
      </c>
      <c r="W244" s="8" t="str">
        <f aca="false">IF($A244="","",SUMIFS('Open supply'!$C:$C,'Open supply'!$A:$A,$AF244,'Open supply'!$B:$B,"&lt;"&amp;PlanDate))</f>
        <v/>
      </c>
      <c r="X244" s="8" t="str">
        <f aca="false">IF($A244="","",SUMIFS('Open demand'!$G:$G,'Open demand'!$A:$A,$AF244))</f>
        <v/>
      </c>
      <c r="Y244" s="8" t="str">
        <f aca="false">IF($L244&lt;&gt;"Planned","",N($H244)+$V244-$X244)</f>
        <v/>
      </c>
      <c r="Z244" s="19" t="str">
        <f aca="false">IF($L244&lt;&gt;"Planned","",IF($Y244&lt;=$S244,"Red",IF($Y244&lt;=$T244,"Yellow",IF($Y244&lt;=$U244,"Green","Above green"))))</f>
        <v/>
      </c>
      <c r="AA244" s="22" t="str">
        <f aca="false">IF(OR($L244&lt;&gt;"Planned",N($U244)&lt;=0),"",$Y244/$U244)</f>
        <v/>
      </c>
      <c r="AB244" s="8" t="str">
        <f aca="false">IF($L244&lt;&gt;"Planned","",IF($Y244&lt;=$T244,ROUNDUP(MAX($U244-$Y244,N($E244))/IF(N($F244)&gt;0,$F244,1)-0.000000001,0)*IF(N($F244)&gt;0,$F244,1),""))</f>
        <v/>
      </c>
      <c r="AC244" s="23" t="str">
        <f aca="false">IF(N($AB244)&gt;0,PlanDate+ROUNDUP($D244,0),"")</f>
        <v/>
      </c>
      <c r="AD244" s="19" t="str">
        <f aca="false">IF($L244&lt;&gt;"Planned","",IF(N($H244)&lt;=0,"Stockout",IF(N($H244)&lt;$S244*0.5,"Critical",IF(N($H244)&lt;=$S244,"Low",IF(N($H244)&gt;$U244,"Over top of green","OK")))))</f>
        <v/>
      </c>
      <c r="AE244" s="8" t="str">
        <f aca="false">IF($A244="","",$A244&amp;"")</f>
        <v/>
      </c>
      <c r="AF244" s="8" t="str">
        <f aca="false">IF($A244="","",SUBSTITUTE(SUBSTITUTE(SUBSTITUTE($A244&amp;"","~","~~"),"*","~*"),"?","~?"))</f>
        <v/>
      </c>
    </row>
    <row r="245" customFormat="false" ht="15" hidden="false" customHeight="false" outlineLevel="0" collapsed="false">
      <c r="A245" s="11"/>
      <c r="B245" s="11"/>
      <c r="C245" s="11"/>
      <c r="D245" s="16"/>
      <c r="E245" s="11"/>
      <c r="F245" s="11"/>
      <c r="G245" s="9"/>
      <c r="H245" s="11"/>
      <c r="I245" s="17"/>
      <c r="J245" s="18" t="str">
        <f aca="false">IF($A245="","",IF(COUNT(Usage!$C:$C)=0,"",MAX(0,SUMIFS(Usage!$C:$C,Usage!$A:$A,$AF245,Usage!$B:$B,"&gt;="&amp;(PlanDate-AduWindow),Usage!$B:$B,"&lt;"&amp;PlanDate))/AduWindow))</f>
        <v/>
      </c>
      <c r="K245" s="18" t="str">
        <f aca="false">IF($A245="","",IF(AND(ISNUMBER($I245),N($I245)&gt;=0),$I245,$J245))</f>
        <v/>
      </c>
      <c r="L245" s="19" t="str">
        <f aca="false">IF($A245="","",IF($K245="","Needs ADU",IF($K245&lt;=0,"No recent demand",IF(N($D245)&lt;=0,"Needs lead time","Planned"))))</f>
        <v/>
      </c>
      <c r="M245" s="8" t="str">
        <f aca="false">IF($A245="","",IF(ISNUMBER(MATCH($C245,Profiles!$A$2:$A$100,0)),$C245,DefaultProfile))</f>
        <v/>
      </c>
      <c r="N245" s="20" t="str">
        <f aca="false">IF($A245="","",INDEX(Profiles!$D$2:$D$100,MATCH($M245,Profiles!$A$2:$A$100,0)))</f>
        <v/>
      </c>
      <c r="O245" s="20" t="str">
        <f aca="false">IF($A245="","",INDEX(Profiles!$E$2:$E$100,MATCH($M245,Profiles!$A$2:$A$100,0)))</f>
        <v/>
      </c>
      <c r="P245" s="21" t="str">
        <f aca="false">IF($L245&lt;&gt;"Planned","",$K245*$D245*$N245*(1+$O245))</f>
        <v/>
      </c>
      <c r="Q245" s="21" t="str">
        <f aca="false">IF($L245&lt;&gt;"Planned","",$K245*$D245)</f>
        <v/>
      </c>
      <c r="R245" s="21" t="str">
        <f aca="false">IF($L245&lt;&gt;"Planned","",MAX(N($E245),$K245*$D245*$N245,$K245*N($G245)))</f>
        <v/>
      </c>
      <c r="S245" s="21" t="str">
        <f aca="false">IF($L245&lt;&gt;"Planned","",$P245)</f>
        <v/>
      </c>
      <c r="T245" s="21" t="str">
        <f aca="false">IF($L245&lt;&gt;"Planned","",$P245+$Q245)</f>
        <v/>
      </c>
      <c r="U245" s="21" t="str">
        <f aca="false">IF($L245&lt;&gt;"Planned","",$T245+$R245)</f>
        <v/>
      </c>
      <c r="V245" s="8" t="str">
        <f aca="false">IF($A245="","",SUMIFS('Open supply'!$C:$C,'Open supply'!$A:$A,$AF245))</f>
        <v/>
      </c>
      <c r="W245" s="8" t="str">
        <f aca="false">IF($A245="","",SUMIFS('Open supply'!$C:$C,'Open supply'!$A:$A,$AF245,'Open supply'!$B:$B,"&lt;"&amp;PlanDate))</f>
        <v/>
      </c>
      <c r="X245" s="8" t="str">
        <f aca="false">IF($A245="","",SUMIFS('Open demand'!$G:$G,'Open demand'!$A:$A,$AF245))</f>
        <v/>
      </c>
      <c r="Y245" s="8" t="str">
        <f aca="false">IF($L245&lt;&gt;"Planned","",N($H245)+$V245-$X245)</f>
        <v/>
      </c>
      <c r="Z245" s="19" t="str">
        <f aca="false">IF($L245&lt;&gt;"Planned","",IF($Y245&lt;=$S245,"Red",IF($Y245&lt;=$T245,"Yellow",IF($Y245&lt;=$U245,"Green","Above green"))))</f>
        <v/>
      </c>
      <c r="AA245" s="22" t="str">
        <f aca="false">IF(OR($L245&lt;&gt;"Planned",N($U245)&lt;=0),"",$Y245/$U245)</f>
        <v/>
      </c>
      <c r="AB245" s="8" t="str">
        <f aca="false">IF($L245&lt;&gt;"Planned","",IF($Y245&lt;=$T245,ROUNDUP(MAX($U245-$Y245,N($E245))/IF(N($F245)&gt;0,$F245,1)-0.000000001,0)*IF(N($F245)&gt;0,$F245,1),""))</f>
        <v/>
      </c>
      <c r="AC245" s="23" t="str">
        <f aca="false">IF(N($AB245)&gt;0,PlanDate+ROUNDUP($D245,0),"")</f>
        <v/>
      </c>
      <c r="AD245" s="19" t="str">
        <f aca="false">IF($L245&lt;&gt;"Planned","",IF(N($H245)&lt;=0,"Stockout",IF(N($H245)&lt;$S245*0.5,"Critical",IF(N($H245)&lt;=$S245,"Low",IF(N($H245)&gt;$U245,"Over top of green","OK")))))</f>
        <v/>
      </c>
      <c r="AE245" s="8" t="str">
        <f aca="false">IF($A245="","",$A245&amp;"")</f>
        <v/>
      </c>
      <c r="AF245" s="8" t="str">
        <f aca="false">IF($A245="","",SUBSTITUTE(SUBSTITUTE(SUBSTITUTE($A245&amp;"","~","~~"),"*","~*"),"?","~?"))</f>
        <v/>
      </c>
    </row>
    <row r="246" customFormat="false" ht="15" hidden="false" customHeight="false" outlineLevel="0" collapsed="false">
      <c r="A246" s="11"/>
      <c r="B246" s="11"/>
      <c r="C246" s="11"/>
      <c r="D246" s="16"/>
      <c r="E246" s="11"/>
      <c r="F246" s="11"/>
      <c r="G246" s="9"/>
      <c r="H246" s="11"/>
      <c r="I246" s="17"/>
      <c r="J246" s="18" t="str">
        <f aca="false">IF($A246="","",IF(COUNT(Usage!$C:$C)=0,"",MAX(0,SUMIFS(Usage!$C:$C,Usage!$A:$A,$AF246,Usage!$B:$B,"&gt;="&amp;(PlanDate-AduWindow),Usage!$B:$B,"&lt;"&amp;PlanDate))/AduWindow))</f>
        <v/>
      </c>
      <c r="K246" s="18" t="str">
        <f aca="false">IF($A246="","",IF(AND(ISNUMBER($I246),N($I246)&gt;=0),$I246,$J246))</f>
        <v/>
      </c>
      <c r="L246" s="19" t="str">
        <f aca="false">IF($A246="","",IF($K246="","Needs ADU",IF($K246&lt;=0,"No recent demand",IF(N($D246)&lt;=0,"Needs lead time","Planned"))))</f>
        <v/>
      </c>
      <c r="M246" s="8" t="str">
        <f aca="false">IF($A246="","",IF(ISNUMBER(MATCH($C246,Profiles!$A$2:$A$100,0)),$C246,DefaultProfile))</f>
        <v/>
      </c>
      <c r="N246" s="20" t="str">
        <f aca="false">IF($A246="","",INDEX(Profiles!$D$2:$D$100,MATCH($M246,Profiles!$A$2:$A$100,0)))</f>
        <v/>
      </c>
      <c r="O246" s="20" t="str">
        <f aca="false">IF($A246="","",INDEX(Profiles!$E$2:$E$100,MATCH($M246,Profiles!$A$2:$A$100,0)))</f>
        <v/>
      </c>
      <c r="P246" s="21" t="str">
        <f aca="false">IF($L246&lt;&gt;"Planned","",$K246*$D246*$N246*(1+$O246))</f>
        <v/>
      </c>
      <c r="Q246" s="21" t="str">
        <f aca="false">IF($L246&lt;&gt;"Planned","",$K246*$D246)</f>
        <v/>
      </c>
      <c r="R246" s="21" t="str">
        <f aca="false">IF($L246&lt;&gt;"Planned","",MAX(N($E246),$K246*$D246*$N246,$K246*N($G246)))</f>
        <v/>
      </c>
      <c r="S246" s="21" t="str">
        <f aca="false">IF($L246&lt;&gt;"Planned","",$P246)</f>
        <v/>
      </c>
      <c r="T246" s="21" t="str">
        <f aca="false">IF($L246&lt;&gt;"Planned","",$P246+$Q246)</f>
        <v/>
      </c>
      <c r="U246" s="21" t="str">
        <f aca="false">IF($L246&lt;&gt;"Planned","",$T246+$R246)</f>
        <v/>
      </c>
      <c r="V246" s="8" t="str">
        <f aca="false">IF($A246="","",SUMIFS('Open supply'!$C:$C,'Open supply'!$A:$A,$AF246))</f>
        <v/>
      </c>
      <c r="W246" s="8" t="str">
        <f aca="false">IF($A246="","",SUMIFS('Open supply'!$C:$C,'Open supply'!$A:$A,$AF246,'Open supply'!$B:$B,"&lt;"&amp;PlanDate))</f>
        <v/>
      </c>
      <c r="X246" s="8" t="str">
        <f aca="false">IF($A246="","",SUMIFS('Open demand'!$G:$G,'Open demand'!$A:$A,$AF246))</f>
        <v/>
      </c>
      <c r="Y246" s="8" t="str">
        <f aca="false">IF($L246&lt;&gt;"Planned","",N($H246)+$V246-$X246)</f>
        <v/>
      </c>
      <c r="Z246" s="19" t="str">
        <f aca="false">IF($L246&lt;&gt;"Planned","",IF($Y246&lt;=$S246,"Red",IF($Y246&lt;=$T246,"Yellow",IF($Y246&lt;=$U246,"Green","Above green"))))</f>
        <v/>
      </c>
      <c r="AA246" s="22" t="str">
        <f aca="false">IF(OR($L246&lt;&gt;"Planned",N($U246)&lt;=0),"",$Y246/$U246)</f>
        <v/>
      </c>
      <c r="AB246" s="8" t="str">
        <f aca="false">IF($L246&lt;&gt;"Planned","",IF($Y246&lt;=$T246,ROUNDUP(MAX($U246-$Y246,N($E246))/IF(N($F246)&gt;0,$F246,1)-0.000000001,0)*IF(N($F246)&gt;0,$F246,1),""))</f>
        <v/>
      </c>
      <c r="AC246" s="23" t="str">
        <f aca="false">IF(N($AB246)&gt;0,PlanDate+ROUNDUP($D246,0),"")</f>
        <v/>
      </c>
      <c r="AD246" s="19" t="str">
        <f aca="false">IF($L246&lt;&gt;"Planned","",IF(N($H246)&lt;=0,"Stockout",IF(N($H246)&lt;$S246*0.5,"Critical",IF(N($H246)&lt;=$S246,"Low",IF(N($H246)&gt;$U246,"Over top of green","OK")))))</f>
        <v/>
      </c>
      <c r="AE246" s="8" t="str">
        <f aca="false">IF($A246="","",$A246&amp;"")</f>
        <v/>
      </c>
      <c r="AF246" s="8" t="str">
        <f aca="false">IF($A246="","",SUBSTITUTE(SUBSTITUTE(SUBSTITUTE($A246&amp;"","~","~~"),"*","~*"),"?","~?"))</f>
        <v/>
      </c>
    </row>
    <row r="247" customFormat="false" ht="15" hidden="false" customHeight="false" outlineLevel="0" collapsed="false">
      <c r="A247" s="11"/>
      <c r="B247" s="11"/>
      <c r="C247" s="11"/>
      <c r="D247" s="16"/>
      <c r="E247" s="11"/>
      <c r="F247" s="11"/>
      <c r="G247" s="9"/>
      <c r="H247" s="11"/>
      <c r="I247" s="17"/>
      <c r="J247" s="18" t="str">
        <f aca="false">IF($A247="","",IF(COUNT(Usage!$C:$C)=0,"",MAX(0,SUMIFS(Usage!$C:$C,Usage!$A:$A,$AF247,Usage!$B:$B,"&gt;="&amp;(PlanDate-AduWindow),Usage!$B:$B,"&lt;"&amp;PlanDate))/AduWindow))</f>
        <v/>
      </c>
      <c r="K247" s="18" t="str">
        <f aca="false">IF($A247="","",IF(AND(ISNUMBER($I247),N($I247)&gt;=0),$I247,$J247))</f>
        <v/>
      </c>
      <c r="L247" s="19" t="str">
        <f aca="false">IF($A247="","",IF($K247="","Needs ADU",IF($K247&lt;=0,"No recent demand",IF(N($D247)&lt;=0,"Needs lead time","Planned"))))</f>
        <v/>
      </c>
      <c r="M247" s="8" t="str">
        <f aca="false">IF($A247="","",IF(ISNUMBER(MATCH($C247,Profiles!$A$2:$A$100,0)),$C247,DefaultProfile))</f>
        <v/>
      </c>
      <c r="N247" s="20" t="str">
        <f aca="false">IF($A247="","",INDEX(Profiles!$D$2:$D$100,MATCH($M247,Profiles!$A$2:$A$100,0)))</f>
        <v/>
      </c>
      <c r="O247" s="20" t="str">
        <f aca="false">IF($A247="","",INDEX(Profiles!$E$2:$E$100,MATCH($M247,Profiles!$A$2:$A$100,0)))</f>
        <v/>
      </c>
      <c r="P247" s="21" t="str">
        <f aca="false">IF($L247&lt;&gt;"Planned","",$K247*$D247*$N247*(1+$O247))</f>
        <v/>
      </c>
      <c r="Q247" s="21" t="str">
        <f aca="false">IF($L247&lt;&gt;"Planned","",$K247*$D247)</f>
        <v/>
      </c>
      <c r="R247" s="21" t="str">
        <f aca="false">IF($L247&lt;&gt;"Planned","",MAX(N($E247),$K247*$D247*$N247,$K247*N($G247)))</f>
        <v/>
      </c>
      <c r="S247" s="21" t="str">
        <f aca="false">IF($L247&lt;&gt;"Planned","",$P247)</f>
        <v/>
      </c>
      <c r="T247" s="21" t="str">
        <f aca="false">IF($L247&lt;&gt;"Planned","",$P247+$Q247)</f>
        <v/>
      </c>
      <c r="U247" s="21" t="str">
        <f aca="false">IF($L247&lt;&gt;"Planned","",$T247+$R247)</f>
        <v/>
      </c>
      <c r="V247" s="8" t="str">
        <f aca="false">IF($A247="","",SUMIFS('Open supply'!$C:$C,'Open supply'!$A:$A,$AF247))</f>
        <v/>
      </c>
      <c r="W247" s="8" t="str">
        <f aca="false">IF($A247="","",SUMIFS('Open supply'!$C:$C,'Open supply'!$A:$A,$AF247,'Open supply'!$B:$B,"&lt;"&amp;PlanDate))</f>
        <v/>
      </c>
      <c r="X247" s="8" t="str">
        <f aca="false">IF($A247="","",SUMIFS('Open demand'!$G:$G,'Open demand'!$A:$A,$AF247))</f>
        <v/>
      </c>
      <c r="Y247" s="8" t="str">
        <f aca="false">IF($L247&lt;&gt;"Planned","",N($H247)+$V247-$X247)</f>
        <v/>
      </c>
      <c r="Z247" s="19" t="str">
        <f aca="false">IF($L247&lt;&gt;"Planned","",IF($Y247&lt;=$S247,"Red",IF($Y247&lt;=$T247,"Yellow",IF($Y247&lt;=$U247,"Green","Above green"))))</f>
        <v/>
      </c>
      <c r="AA247" s="22" t="str">
        <f aca="false">IF(OR($L247&lt;&gt;"Planned",N($U247)&lt;=0),"",$Y247/$U247)</f>
        <v/>
      </c>
      <c r="AB247" s="8" t="str">
        <f aca="false">IF($L247&lt;&gt;"Planned","",IF($Y247&lt;=$T247,ROUNDUP(MAX($U247-$Y247,N($E247))/IF(N($F247)&gt;0,$F247,1)-0.000000001,0)*IF(N($F247)&gt;0,$F247,1),""))</f>
        <v/>
      </c>
      <c r="AC247" s="23" t="str">
        <f aca="false">IF(N($AB247)&gt;0,PlanDate+ROUNDUP($D247,0),"")</f>
        <v/>
      </c>
      <c r="AD247" s="19" t="str">
        <f aca="false">IF($L247&lt;&gt;"Planned","",IF(N($H247)&lt;=0,"Stockout",IF(N($H247)&lt;$S247*0.5,"Critical",IF(N($H247)&lt;=$S247,"Low",IF(N($H247)&gt;$U247,"Over top of green","OK")))))</f>
        <v/>
      </c>
      <c r="AE247" s="8" t="str">
        <f aca="false">IF($A247="","",$A247&amp;"")</f>
        <v/>
      </c>
      <c r="AF247" s="8" t="str">
        <f aca="false">IF($A247="","",SUBSTITUTE(SUBSTITUTE(SUBSTITUTE($A247&amp;"","~","~~"),"*","~*"),"?","~?"))</f>
        <v/>
      </c>
    </row>
    <row r="248" customFormat="false" ht="15" hidden="false" customHeight="false" outlineLevel="0" collapsed="false">
      <c r="A248" s="11"/>
      <c r="B248" s="11"/>
      <c r="C248" s="11"/>
      <c r="D248" s="16"/>
      <c r="E248" s="11"/>
      <c r="F248" s="11"/>
      <c r="G248" s="9"/>
      <c r="H248" s="11"/>
      <c r="I248" s="17"/>
      <c r="J248" s="18" t="str">
        <f aca="false">IF($A248="","",IF(COUNT(Usage!$C:$C)=0,"",MAX(0,SUMIFS(Usage!$C:$C,Usage!$A:$A,$AF248,Usage!$B:$B,"&gt;="&amp;(PlanDate-AduWindow),Usage!$B:$B,"&lt;"&amp;PlanDate))/AduWindow))</f>
        <v/>
      </c>
      <c r="K248" s="18" t="str">
        <f aca="false">IF($A248="","",IF(AND(ISNUMBER($I248),N($I248)&gt;=0),$I248,$J248))</f>
        <v/>
      </c>
      <c r="L248" s="19" t="str">
        <f aca="false">IF($A248="","",IF($K248="","Needs ADU",IF($K248&lt;=0,"No recent demand",IF(N($D248)&lt;=0,"Needs lead time","Planned"))))</f>
        <v/>
      </c>
      <c r="M248" s="8" t="str">
        <f aca="false">IF($A248="","",IF(ISNUMBER(MATCH($C248,Profiles!$A$2:$A$100,0)),$C248,DefaultProfile))</f>
        <v/>
      </c>
      <c r="N248" s="20" t="str">
        <f aca="false">IF($A248="","",INDEX(Profiles!$D$2:$D$100,MATCH($M248,Profiles!$A$2:$A$100,0)))</f>
        <v/>
      </c>
      <c r="O248" s="20" t="str">
        <f aca="false">IF($A248="","",INDEX(Profiles!$E$2:$E$100,MATCH($M248,Profiles!$A$2:$A$100,0)))</f>
        <v/>
      </c>
      <c r="P248" s="21" t="str">
        <f aca="false">IF($L248&lt;&gt;"Planned","",$K248*$D248*$N248*(1+$O248))</f>
        <v/>
      </c>
      <c r="Q248" s="21" t="str">
        <f aca="false">IF($L248&lt;&gt;"Planned","",$K248*$D248)</f>
        <v/>
      </c>
      <c r="R248" s="21" t="str">
        <f aca="false">IF($L248&lt;&gt;"Planned","",MAX(N($E248),$K248*$D248*$N248,$K248*N($G248)))</f>
        <v/>
      </c>
      <c r="S248" s="21" t="str">
        <f aca="false">IF($L248&lt;&gt;"Planned","",$P248)</f>
        <v/>
      </c>
      <c r="T248" s="21" t="str">
        <f aca="false">IF($L248&lt;&gt;"Planned","",$P248+$Q248)</f>
        <v/>
      </c>
      <c r="U248" s="21" t="str">
        <f aca="false">IF($L248&lt;&gt;"Planned","",$T248+$R248)</f>
        <v/>
      </c>
      <c r="V248" s="8" t="str">
        <f aca="false">IF($A248="","",SUMIFS('Open supply'!$C:$C,'Open supply'!$A:$A,$AF248))</f>
        <v/>
      </c>
      <c r="W248" s="8" t="str">
        <f aca="false">IF($A248="","",SUMIFS('Open supply'!$C:$C,'Open supply'!$A:$A,$AF248,'Open supply'!$B:$B,"&lt;"&amp;PlanDate))</f>
        <v/>
      </c>
      <c r="X248" s="8" t="str">
        <f aca="false">IF($A248="","",SUMIFS('Open demand'!$G:$G,'Open demand'!$A:$A,$AF248))</f>
        <v/>
      </c>
      <c r="Y248" s="8" t="str">
        <f aca="false">IF($L248&lt;&gt;"Planned","",N($H248)+$V248-$X248)</f>
        <v/>
      </c>
      <c r="Z248" s="19" t="str">
        <f aca="false">IF($L248&lt;&gt;"Planned","",IF($Y248&lt;=$S248,"Red",IF($Y248&lt;=$T248,"Yellow",IF($Y248&lt;=$U248,"Green","Above green"))))</f>
        <v/>
      </c>
      <c r="AA248" s="22" t="str">
        <f aca="false">IF(OR($L248&lt;&gt;"Planned",N($U248)&lt;=0),"",$Y248/$U248)</f>
        <v/>
      </c>
      <c r="AB248" s="8" t="str">
        <f aca="false">IF($L248&lt;&gt;"Planned","",IF($Y248&lt;=$T248,ROUNDUP(MAX($U248-$Y248,N($E248))/IF(N($F248)&gt;0,$F248,1)-0.000000001,0)*IF(N($F248)&gt;0,$F248,1),""))</f>
        <v/>
      </c>
      <c r="AC248" s="23" t="str">
        <f aca="false">IF(N($AB248)&gt;0,PlanDate+ROUNDUP($D248,0),"")</f>
        <v/>
      </c>
      <c r="AD248" s="19" t="str">
        <f aca="false">IF($L248&lt;&gt;"Planned","",IF(N($H248)&lt;=0,"Stockout",IF(N($H248)&lt;$S248*0.5,"Critical",IF(N($H248)&lt;=$S248,"Low",IF(N($H248)&gt;$U248,"Over top of green","OK")))))</f>
        <v/>
      </c>
      <c r="AE248" s="8" t="str">
        <f aca="false">IF($A248="","",$A248&amp;"")</f>
        <v/>
      </c>
      <c r="AF248" s="8" t="str">
        <f aca="false">IF($A248="","",SUBSTITUTE(SUBSTITUTE(SUBSTITUTE($A248&amp;"","~","~~"),"*","~*"),"?","~?"))</f>
        <v/>
      </c>
    </row>
    <row r="249" customFormat="false" ht="15" hidden="false" customHeight="false" outlineLevel="0" collapsed="false">
      <c r="A249" s="11"/>
      <c r="B249" s="11"/>
      <c r="C249" s="11"/>
      <c r="D249" s="16"/>
      <c r="E249" s="11"/>
      <c r="F249" s="11"/>
      <c r="G249" s="9"/>
      <c r="H249" s="11"/>
      <c r="I249" s="17"/>
      <c r="J249" s="18" t="str">
        <f aca="false">IF($A249="","",IF(COUNT(Usage!$C:$C)=0,"",MAX(0,SUMIFS(Usage!$C:$C,Usage!$A:$A,$AF249,Usage!$B:$B,"&gt;="&amp;(PlanDate-AduWindow),Usage!$B:$B,"&lt;"&amp;PlanDate))/AduWindow))</f>
        <v/>
      </c>
      <c r="K249" s="18" t="str">
        <f aca="false">IF($A249="","",IF(AND(ISNUMBER($I249),N($I249)&gt;=0),$I249,$J249))</f>
        <v/>
      </c>
      <c r="L249" s="19" t="str">
        <f aca="false">IF($A249="","",IF($K249="","Needs ADU",IF($K249&lt;=0,"No recent demand",IF(N($D249)&lt;=0,"Needs lead time","Planned"))))</f>
        <v/>
      </c>
      <c r="M249" s="8" t="str">
        <f aca="false">IF($A249="","",IF(ISNUMBER(MATCH($C249,Profiles!$A$2:$A$100,0)),$C249,DefaultProfile))</f>
        <v/>
      </c>
      <c r="N249" s="20" t="str">
        <f aca="false">IF($A249="","",INDEX(Profiles!$D$2:$D$100,MATCH($M249,Profiles!$A$2:$A$100,0)))</f>
        <v/>
      </c>
      <c r="O249" s="20" t="str">
        <f aca="false">IF($A249="","",INDEX(Profiles!$E$2:$E$100,MATCH($M249,Profiles!$A$2:$A$100,0)))</f>
        <v/>
      </c>
      <c r="P249" s="21" t="str">
        <f aca="false">IF($L249&lt;&gt;"Planned","",$K249*$D249*$N249*(1+$O249))</f>
        <v/>
      </c>
      <c r="Q249" s="21" t="str">
        <f aca="false">IF($L249&lt;&gt;"Planned","",$K249*$D249)</f>
        <v/>
      </c>
      <c r="R249" s="21" t="str">
        <f aca="false">IF($L249&lt;&gt;"Planned","",MAX(N($E249),$K249*$D249*$N249,$K249*N($G249)))</f>
        <v/>
      </c>
      <c r="S249" s="21" t="str">
        <f aca="false">IF($L249&lt;&gt;"Planned","",$P249)</f>
        <v/>
      </c>
      <c r="T249" s="21" t="str">
        <f aca="false">IF($L249&lt;&gt;"Planned","",$P249+$Q249)</f>
        <v/>
      </c>
      <c r="U249" s="21" t="str">
        <f aca="false">IF($L249&lt;&gt;"Planned","",$T249+$R249)</f>
        <v/>
      </c>
      <c r="V249" s="8" t="str">
        <f aca="false">IF($A249="","",SUMIFS('Open supply'!$C:$C,'Open supply'!$A:$A,$AF249))</f>
        <v/>
      </c>
      <c r="W249" s="8" t="str">
        <f aca="false">IF($A249="","",SUMIFS('Open supply'!$C:$C,'Open supply'!$A:$A,$AF249,'Open supply'!$B:$B,"&lt;"&amp;PlanDate))</f>
        <v/>
      </c>
      <c r="X249" s="8" t="str">
        <f aca="false">IF($A249="","",SUMIFS('Open demand'!$G:$G,'Open demand'!$A:$A,$AF249))</f>
        <v/>
      </c>
      <c r="Y249" s="8" t="str">
        <f aca="false">IF($L249&lt;&gt;"Planned","",N($H249)+$V249-$X249)</f>
        <v/>
      </c>
      <c r="Z249" s="19" t="str">
        <f aca="false">IF($L249&lt;&gt;"Planned","",IF($Y249&lt;=$S249,"Red",IF($Y249&lt;=$T249,"Yellow",IF($Y249&lt;=$U249,"Green","Above green"))))</f>
        <v/>
      </c>
      <c r="AA249" s="22" t="str">
        <f aca="false">IF(OR($L249&lt;&gt;"Planned",N($U249)&lt;=0),"",$Y249/$U249)</f>
        <v/>
      </c>
      <c r="AB249" s="8" t="str">
        <f aca="false">IF($L249&lt;&gt;"Planned","",IF($Y249&lt;=$T249,ROUNDUP(MAX($U249-$Y249,N($E249))/IF(N($F249)&gt;0,$F249,1)-0.000000001,0)*IF(N($F249)&gt;0,$F249,1),""))</f>
        <v/>
      </c>
      <c r="AC249" s="23" t="str">
        <f aca="false">IF(N($AB249)&gt;0,PlanDate+ROUNDUP($D249,0),"")</f>
        <v/>
      </c>
      <c r="AD249" s="19" t="str">
        <f aca="false">IF($L249&lt;&gt;"Planned","",IF(N($H249)&lt;=0,"Stockout",IF(N($H249)&lt;$S249*0.5,"Critical",IF(N($H249)&lt;=$S249,"Low",IF(N($H249)&gt;$U249,"Over top of green","OK")))))</f>
        <v/>
      </c>
      <c r="AE249" s="8" t="str">
        <f aca="false">IF($A249="","",$A249&amp;"")</f>
        <v/>
      </c>
      <c r="AF249" s="8" t="str">
        <f aca="false">IF($A249="","",SUBSTITUTE(SUBSTITUTE(SUBSTITUTE($A249&amp;"","~","~~"),"*","~*"),"?","~?"))</f>
        <v/>
      </c>
    </row>
    <row r="250" customFormat="false" ht="15" hidden="false" customHeight="false" outlineLevel="0" collapsed="false">
      <c r="A250" s="11"/>
      <c r="B250" s="11"/>
      <c r="C250" s="11"/>
      <c r="D250" s="16"/>
      <c r="E250" s="11"/>
      <c r="F250" s="11"/>
      <c r="G250" s="9"/>
      <c r="H250" s="11"/>
      <c r="I250" s="17"/>
      <c r="J250" s="18" t="str">
        <f aca="false">IF($A250="","",IF(COUNT(Usage!$C:$C)=0,"",MAX(0,SUMIFS(Usage!$C:$C,Usage!$A:$A,$AF250,Usage!$B:$B,"&gt;="&amp;(PlanDate-AduWindow),Usage!$B:$B,"&lt;"&amp;PlanDate))/AduWindow))</f>
        <v/>
      </c>
      <c r="K250" s="18" t="str">
        <f aca="false">IF($A250="","",IF(AND(ISNUMBER($I250),N($I250)&gt;=0),$I250,$J250))</f>
        <v/>
      </c>
      <c r="L250" s="19" t="str">
        <f aca="false">IF($A250="","",IF($K250="","Needs ADU",IF($K250&lt;=0,"No recent demand",IF(N($D250)&lt;=0,"Needs lead time","Planned"))))</f>
        <v/>
      </c>
      <c r="M250" s="8" t="str">
        <f aca="false">IF($A250="","",IF(ISNUMBER(MATCH($C250,Profiles!$A$2:$A$100,0)),$C250,DefaultProfile))</f>
        <v/>
      </c>
      <c r="N250" s="20" t="str">
        <f aca="false">IF($A250="","",INDEX(Profiles!$D$2:$D$100,MATCH($M250,Profiles!$A$2:$A$100,0)))</f>
        <v/>
      </c>
      <c r="O250" s="20" t="str">
        <f aca="false">IF($A250="","",INDEX(Profiles!$E$2:$E$100,MATCH($M250,Profiles!$A$2:$A$100,0)))</f>
        <v/>
      </c>
      <c r="P250" s="21" t="str">
        <f aca="false">IF($L250&lt;&gt;"Planned","",$K250*$D250*$N250*(1+$O250))</f>
        <v/>
      </c>
      <c r="Q250" s="21" t="str">
        <f aca="false">IF($L250&lt;&gt;"Planned","",$K250*$D250)</f>
        <v/>
      </c>
      <c r="R250" s="21" t="str">
        <f aca="false">IF($L250&lt;&gt;"Planned","",MAX(N($E250),$K250*$D250*$N250,$K250*N($G250)))</f>
        <v/>
      </c>
      <c r="S250" s="21" t="str">
        <f aca="false">IF($L250&lt;&gt;"Planned","",$P250)</f>
        <v/>
      </c>
      <c r="T250" s="21" t="str">
        <f aca="false">IF($L250&lt;&gt;"Planned","",$P250+$Q250)</f>
        <v/>
      </c>
      <c r="U250" s="21" t="str">
        <f aca="false">IF($L250&lt;&gt;"Planned","",$T250+$R250)</f>
        <v/>
      </c>
      <c r="V250" s="8" t="str">
        <f aca="false">IF($A250="","",SUMIFS('Open supply'!$C:$C,'Open supply'!$A:$A,$AF250))</f>
        <v/>
      </c>
      <c r="W250" s="8" t="str">
        <f aca="false">IF($A250="","",SUMIFS('Open supply'!$C:$C,'Open supply'!$A:$A,$AF250,'Open supply'!$B:$B,"&lt;"&amp;PlanDate))</f>
        <v/>
      </c>
      <c r="X250" s="8" t="str">
        <f aca="false">IF($A250="","",SUMIFS('Open demand'!$G:$G,'Open demand'!$A:$A,$AF250))</f>
        <v/>
      </c>
      <c r="Y250" s="8" t="str">
        <f aca="false">IF($L250&lt;&gt;"Planned","",N($H250)+$V250-$X250)</f>
        <v/>
      </c>
      <c r="Z250" s="19" t="str">
        <f aca="false">IF($L250&lt;&gt;"Planned","",IF($Y250&lt;=$S250,"Red",IF($Y250&lt;=$T250,"Yellow",IF($Y250&lt;=$U250,"Green","Above green"))))</f>
        <v/>
      </c>
      <c r="AA250" s="22" t="str">
        <f aca="false">IF(OR($L250&lt;&gt;"Planned",N($U250)&lt;=0),"",$Y250/$U250)</f>
        <v/>
      </c>
      <c r="AB250" s="8" t="str">
        <f aca="false">IF($L250&lt;&gt;"Planned","",IF($Y250&lt;=$T250,ROUNDUP(MAX($U250-$Y250,N($E250))/IF(N($F250)&gt;0,$F250,1)-0.000000001,0)*IF(N($F250)&gt;0,$F250,1),""))</f>
        <v/>
      </c>
      <c r="AC250" s="23" t="str">
        <f aca="false">IF(N($AB250)&gt;0,PlanDate+ROUNDUP($D250,0),"")</f>
        <v/>
      </c>
      <c r="AD250" s="19" t="str">
        <f aca="false">IF($L250&lt;&gt;"Planned","",IF(N($H250)&lt;=0,"Stockout",IF(N($H250)&lt;$S250*0.5,"Critical",IF(N($H250)&lt;=$S250,"Low",IF(N($H250)&gt;$U250,"Over top of green","OK")))))</f>
        <v/>
      </c>
      <c r="AE250" s="8" t="str">
        <f aca="false">IF($A250="","",$A250&amp;"")</f>
        <v/>
      </c>
      <c r="AF250" s="8" t="str">
        <f aca="false">IF($A250="","",SUBSTITUTE(SUBSTITUTE(SUBSTITUTE($A250&amp;"","~","~~"),"*","~*"),"?","~?"))</f>
        <v/>
      </c>
    </row>
    <row r="251" customFormat="false" ht="15" hidden="false" customHeight="false" outlineLevel="0" collapsed="false">
      <c r="A251" s="11"/>
      <c r="B251" s="11"/>
      <c r="C251" s="11"/>
      <c r="D251" s="16"/>
      <c r="E251" s="11"/>
      <c r="F251" s="11"/>
      <c r="G251" s="9"/>
      <c r="H251" s="11"/>
      <c r="I251" s="17"/>
      <c r="J251" s="18" t="str">
        <f aca="false">IF($A251="","",IF(COUNT(Usage!$C:$C)=0,"",MAX(0,SUMIFS(Usage!$C:$C,Usage!$A:$A,$AF251,Usage!$B:$B,"&gt;="&amp;(PlanDate-AduWindow),Usage!$B:$B,"&lt;"&amp;PlanDate))/AduWindow))</f>
        <v/>
      </c>
      <c r="K251" s="18" t="str">
        <f aca="false">IF($A251="","",IF(AND(ISNUMBER($I251),N($I251)&gt;=0),$I251,$J251))</f>
        <v/>
      </c>
      <c r="L251" s="19" t="str">
        <f aca="false">IF($A251="","",IF($K251="","Needs ADU",IF($K251&lt;=0,"No recent demand",IF(N($D251)&lt;=0,"Needs lead time","Planned"))))</f>
        <v/>
      </c>
      <c r="M251" s="8" t="str">
        <f aca="false">IF($A251="","",IF(ISNUMBER(MATCH($C251,Profiles!$A$2:$A$100,0)),$C251,DefaultProfile))</f>
        <v/>
      </c>
      <c r="N251" s="20" t="str">
        <f aca="false">IF($A251="","",INDEX(Profiles!$D$2:$D$100,MATCH($M251,Profiles!$A$2:$A$100,0)))</f>
        <v/>
      </c>
      <c r="O251" s="20" t="str">
        <f aca="false">IF($A251="","",INDEX(Profiles!$E$2:$E$100,MATCH($M251,Profiles!$A$2:$A$100,0)))</f>
        <v/>
      </c>
      <c r="P251" s="21" t="str">
        <f aca="false">IF($L251&lt;&gt;"Planned","",$K251*$D251*$N251*(1+$O251))</f>
        <v/>
      </c>
      <c r="Q251" s="21" t="str">
        <f aca="false">IF($L251&lt;&gt;"Planned","",$K251*$D251)</f>
        <v/>
      </c>
      <c r="R251" s="21" t="str">
        <f aca="false">IF($L251&lt;&gt;"Planned","",MAX(N($E251),$K251*$D251*$N251,$K251*N($G251)))</f>
        <v/>
      </c>
      <c r="S251" s="21" t="str">
        <f aca="false">IF($L251&lt;&gt;"Planned","",$P251)</f>
        <v/>
      </c>
      <c r="T251" s="21" t="str">
        <f aca="false">IF($L251&lt;&gt;"Planned","",$P251+$Q251)</f>
        <v/>
      </c>
      <c r="U251" s="21" t="str">
        <f aca="false">IF($L251&lt;&gt;"Planned","",$T251+$R251)</f>
        <v/>
      </c>
      <c r="V251" s="8" t="str">
        <f aca="false">IF($A251="","",SUMIFS('Open supply'!$C:$C,'Open supply'!$A:$A,$AF251))</f>
        <v/>
      </c>
      <c r="W251" s="8" t="str">
        <f aca="false">IF($A251="","",SUMIFS('Open supply'!$C:$C,'Open supply'!$A:$A,$AF251,'Open supply'!$B:$B,"&lt;"&amp;PlanDate))</f>
        <v/>
      </c>
      <c r="X251" s="8" t="str">
        <f aca="false">IF($A251="","",SUMIFS('Open demand'!$G:$G,'Open demand'!$A:$A,$AF251))</f>
        <v/>
      </c>
      <c r="Y251" s="8" t="str">
        <f aca="false">IF($L251&lt;&gt;"Planned","",N($H251)+$V251-$X251)</f>
        <v/>
      </c>
      <c r="Z251" s="19" t="str">
        <f aca="false">IF($L251&lt;&gt;"Planned","",IF($Y251&lt;=$S251,"Red",IF($Y251&lt;=$T251,"Yellow",IF($Y251&lt;=$U251,"Green","Above green"))))</f>
        <v/>
      </c>
      <c r="AA251" s="22" t="str">
        <f aca="false">IF(OR($L251&lt;&gt;"Planned",N($U251)&lt;=0),"",$Y251/$U251)</f>
        <v/>
      </c>
      <c r="AB251" s="8" t="str">
        <f aca="false">IF($L251&lt;&gt;"Planned","",IF($Y251&lt;=$T251,ROUNDUP(MAX($U251-$Y251,N($E251))/IF(N($F251)&gt;0,$F251,1)-0.000000001,0)*IF(N($F251)&gt;0,$F251,1),""))</f>
        <v/>
      </c>
      <c r="AC251" s="23" t="str">
        <f aca="false">IF(N($AB251)&gt;0,PlanDate+ROUNDUP($D251,0),"")</f>
        <v/>
      </c>
      <c r="AD251" s="19" t="str">
        <f aca="false">IF($L251&lt;&gt;"Planned","",IF(N($H251)&lt;=0,"Stockout",IF(N($H251)&lt;$S251*0.5,"Critical",IF(N($H251)&lt;=$S251,"Low",IF(N($H251)&gt;$U251,"Over top of green","OK")))))</f>
        <v/>
      </c>
      <c r="AE251" s="8" t="str">
        <f aca="false">IF($A251="","",$A251&amp;"")</f>
        <v/>
      </c>
      <c r="AF251" s="8" t="str">
        <f aca="false">IF($A251="","",SUBSTITUTE(SUBSTITUTE(SUBSTITUTE($A251&amp;"","~","~~"),"*","~*"),"?","~?"))</f>
        <v/>
      </c>
    </row>
    <row r="252" customFormat="false" ht="15" hidden="false" customHeight="false" outlineLevel="0" collapsed="false">
      <c r="A252" s="11"/>
      <c r="B252" s="11"/>
      <c r="C252" s="11"/>
      <c r="D252" s="16"/>
      <c r="E252" s="11"/>
      <c r="F252" s="11"/>
      <c r="G252" s="9"/>
      <c r="H252" s="11"/>
      <c r="I252" s="17"/>
      <c r="J252" s="18" t="str">
        <f aca="false">IF($A252="","",IF(COUNT(Usage!$C:$C)=0,"",MAX(0,SUMIFS(Usage!$C:$C,Usage!$A:$A,$AF252,Usage!$B:$B,"&gt;="&amp;(PlanDate-AduWindow),Usage!$B:$B,"&lt;"&amp;PlanDate))/AduWindow))</f>
        <v/>
      </c>
      <c r="K252" s="18" t="str">
        <f aca="false">IF($A252="","",IF(AND(ISNUMBER($I252),N($I252)&gt;=0),$I252,$J252))</f>
        <v/>
      </c>
      <c r="L252" s="19" t="str">
        <f aca="false">IF($A252="","",IF($K252="","Needs ADU",IF($K252&lt;=0,"No recent demand",IF(N($D252)&lt;=0,"Needs lead time","Planned"))))</f>
        <v/>
      </c>
      <c r="M252" s="8" t="str">
        <f aca="false">IF($A252="","",IF(ISNUMBER(MATCH($C252,Profiles!$A$2:$A$100,0)),$C252,DefaultProfile))</f>
        <v/>
      </c>
      <c r="N252" s="20" t="str">
        <f aca="false">IF($A252="","",INDEX(Profiles!$D$2:$D$100,MATCH($M252,Profiles!$A$2:$A$100,0)))</f>
        <v/>
      </c>
      <c r="O252" s="20" t="str">
        <f aca="false">IF($A252="","",INDEX(Profiles!$E$2:$E$100,MATCH($M252,Profiles!$A$2:$A$100,0)))</f>
        <v/>
      </c>
      <c r="P252" s="21" t="str">
        <f aca="false">IF($L252&lt;&gt;"Planned","",$K252*$D252*$N252*(1+$O252))</f>
        <v/>
      </c>
      <c r="Q252" s="21" t="str">
        <f aca="false">IF($L252&lt;&gt;"Planned","",$K252*$D252)</f>
        <v/>
      </c>
      <c r="R252" s="21" t="str">
        <f aca="false">IF($L252&lt;&gt;"Planned","",MAX(N($E252),$K252*$D252*$N252,$K252*N($G252)))</f>
        <v/>
      </c>
      <c r="S252" s="21" t="str">
        <f aca="false">IF($L252&lt;&gt;"Planned","",$P252)</f>
        <v/>
      </c>
      <c r="T252" s="21" t="str">
        <f aca="false">IF($L252&lt;&gt;"Planned","",$P252+$Q252)</f>
        <v/>
      </c>
      <c r="U252" s="21" t="str">
        <f aca="false">IF($L252&lt;&gt;"Planned","",$T252+$R252)</f>
        <v/>
      </c>
      <c r="V252" s="8" t="str">
        <f aca="false">IF($A252="","",SUMIFS('Open supply'!$C:$C,'Open supply'!$A:$A,$AF252))</f>
        <v/>
      </c>
      <c r="W252" s="8" t="str">
        <f aca="false">IF($A252="","",SUMIFS('Open supply'!$C:$C,'Open supply'!$A:$A,$AF252,'Open supply'!$B:$B,"&lt;"&amp;PlanDate))</f>
        <v/>
      </c>
      <c r="X252" s="8" t="str">
        <f aca="false">IF($A252="","",SUMIFS('Open demand'!$G:$G,'Open demand'!$A:$A,$AF252))</f>
        <v/>
      </c>
      <c r="Y252" s="8" t="str">
        <f aca="false">IF($L252&lt;&gt;"Planned","",N($H252)+$V252-$X252)</f>
        <v/>
      </c>
      <c r="Z252" s="19" t="str">
        <f aca="false">IF($L252&lt;&gt;"Planned","",IF($Y252&lt;=$S252,"Red",IF($Y252&lt;=$T252,"Yellow",IF($Y252&lt;=$U252,"Green","Above green"))))</f>
        <v/>
      </c>
      <c r="AA252" s="22" t="str">
        <f aca="false">IF(OR($L252&lt;&gt;"Planned",N($U252)&lt;=0),"",$Y252/$U252)</f>
        <v/>
      </c>
      <c r="AB252" s="8" t="str">
        <f aca="false">IF($L252&lt;&gt;"Planned","",IF($Y252&lt;=$T252,ROUNDUP(MAX($U252-$Y252,N($E252))/IF(N($F252)&gt;0,$F252,1)-0.000000001,0)*IF(N($F252)&gt;0,$F252,1),""))</f>
        <v/>
      </c>
      <c r="AC252" s="23" t="str">
        <f aca="false">IF(N($AB252)&gt;0,PlanDate+ROUNDUP($D252,0),"")</f>
        <v/>
      </c>
      <c r="AD252" s="19" t="str">
        <f aca="false">IF($L252&lt;&gt;"Planned","",IF(N($H252)&lt;=0,"Stockout",IF(N($H252)&lt;$S252*0.5,"Critical",IF(N($H252)&lt;=$S252,"Low",IF(N($H252)&gt;$U252,"Over top of green","OK")))))</f>
        <v/>
      </c>
      <c r="AE252" s="8" t="str">
        <f aca="false">IF($A252="","",$A252&amp;"")</f>
        <v/>
      </c>
      <c r="AF252" s="8" t="str">
        <f aca="false">IF($A252="","",SUBSTITUTE(SUBSTITUTE(SUBSTITUTE($A252&amp;"","~","~~"),"*","~*"),"?","~?"))</f>
        <v/>
      </c>
    </row>
    <row r="253" customFormat="false" ht="15" hidden="false" customHeight="false" outlineLevel="0" collapsed="false">
      <c r="A253" s="11"/>
      <c r="B253" s="11"/>
      <c r="C253" s="11"/>
      <c r="D253" s="16"/>
      <c r="E253" s="11"/>
      <c r="F253" s="11"/>
      <c r="G253" s="9"/>
      <c r="H253" s="11"/>
      <c r="I253" s="17"/>
      <c r="J253" s="18" t="str">
        <f aca="false">IF($A253="","",IF(COUNT(Usage!$C:$C)=0,"",MAX(0,SUMIFS(Usage!$C:$C,Usage!$A:$A,$AF253,Usage!$B:$B,"&gt;="&amp;(PlanDate-AduWindow),Usage!$B:$B,"&lt;"&amp;PlanDate))/AduWindow))</f>
        <v/>
      </c>
      <c r="K253" s="18" t="str">
        <f aca="false">IF($A253="","",IF(AND(ISNUMBER($I253),N($I253)&gt;=0),$I253,$J253))</f>
        <v/>
      </c>
      <c r="L253" s="19" t="str">
        <f aca="false">IF($A253="","",IF($K253="","Needs ADU",IF($K253&lt;=0,"No recent demand",IF(N($D253)&lt;=0,"Needs lead time","Planned"))))</f>
        <v/>
      </c>
      <c r="M253" s="8" t="str">
        <f aca="false">IF($A253="","",IF(ISNUMBER(MATCH($C253,Profiles!$A$2:$A$100,0)),$C253,DefaultProfile))</f>
        <v/>
      </c>
      <c r="N253" s="20" t="str">
        <f aca="false">IF($A253="","",INDEX(Profiles!$D$2:$D$100,MATCH($M253,Profiles!$A$2:$A$100,0)))</f>
        <v/>
      </c>
      <c r="O253" s="20" t="str">
        <f aca="false">IF($A253="","",INDEX(Profiles!$E$2:$E$100,MATCH($M253,Profiles!$A$2:$A$100,0)))</f>
        <v/>
      </c>
      <c r="P253" s="21" t="str">
        <f aca="false">IF($L253&lt;&gt;"Planned","",$K253*$D253*$N253*(1+$O253))</f>
        <v/>
      </c>
      <c r="Q253" s="21" t="str">
        <f aca="false">IF($L253&lt;&gt;"Planned","",$K253*$D253)</f>
        <v/>
      </c>
      <c r="R253" s="21" t="str">
        <f aca="false">IF($L253&lt;&gt;"Planned","",MAX(N($E253),$K253*$D253*$N253,$K253*N($G253)))</f>
        <v/>
      </c>
      <c r="S253" s="21" t="str">
        <f aca="false">IF($L253&lt;&gt;"Planned","",$P253)</f>
        <v/>
      </c>
      <c r="T253" s="21" t="str">
        <f aca="false">IF($L253&lt;&gt;"Planned","",$P253+$Q253)</f>
        <v/>
      </c>
      <c r="U253" s="21" t="str">
        <f aca="false">IF($L253&lt;&gt;"Planned","",$T253+$R253)</f>
        <v/>
      </c>
      <c r="V253" s="8" t="str">
        <f aca="false">IF($A253="","",SUMIFS('Open supply'!$C:$C,'Open supply'!$A:$A,$AF253))</f>
        <v/>
      </c>
      <c r="W253" s="8" t="str">
        <f aca="false">IF($A253="","",SUMIFS('Open supply'!$C:$C,'Open supply'!$A:$A,$AF253,'Open supply'!$B:$B,"&lt;"&amp;PlanDate))</f>
        <v/>
      </c>
      <c r="X253" s="8" t="str">
        <f aca="false">IF($A253="","",SUMIFS('Open demand'!$G:$G,'Open demand'!$A:$A,$AF253))</f>
        <v/>
      </c>
      <c r="Y253" s="8" t="str">
        <f aca="false">IF($L253&lt;&gt;"Planned","",N($H253)+$V253-$X253)</f>
        <v/>
      </c>
      <c r="Z253" s="19" t="str">
        <f aca="false">IF($L253&lt;&gt;"Planned","",IF($Y253&lt;=$S253,"Red",IF($Y253&lt;=$T253,"Yellow",IF($Y253&lt;=$U253,"Green","Above green"))))</f>
        <v/>
      </c>
      <c r="AA253" s="22" t="str">
        <f aca="false">IF(OR($L253&lt;&gt;"Planned",N($U253)&lt;=0),"",$Y253/$U253)</f>
        <v/>
      </c>
      <c r="AB253" s="8" t="str">
        <f aca="false">IF($L253&lt;&gt;"Planned","",IF($Y253&lt;=$T253,ROUNDUP(MAX($U253-$Y253,N($E253))/IF(N($F253)&gt;0,$F253,1)-0.000000001,0)*IF(N($F253)&gt;0,$F253,1),""))</f>
        <v/>
      </c>
      <c r="AC253" s="23" t="str">
        <f aca="false">IF(N($AB253)&gt;0,PlanDate+ROUNDUP($D253,0),"")</f>
        <v/>
      </c>
      <c r="AD253" s="19" t="str">
        <f aca="false">IF($L253&lt;&gt;"Planned","",IF(N($H253)&lt;=0,"Stockout",IF(N($H253)&lt;$S253*0.5,"Critical",IF(N($H253)&lt;=$S253,"Low",IF(N($H253)&gt;$U253,"Over top of green","OK")))))</f>
        <v/>
      </c>
      <c r="AE253" s="8" t="str">
        <f aca="false">IF($A253="","",$A253&amp;"")</f>
        <v/>
      </c>
      <c r="AF253" s="8" t="str">
        <f aca="false">IF($A253="","",SUBSTITUTE(SUBSTITUTE(SUBSTITUTE($A253&amp;"","~","~~"),"*","~*"),"?","~?"))</f>
        <v/>
      </c>
    </row>
    <row r="254" customFormat="false" ht="15" hidden="false" customHeight="false" outlineLevel="0" collapsed="false">
      <c r="A254" s="11"/>
      <c r="B254" s="11"/>
      <c r="C254" s="11"/>
      <c r="D254" s="16"/>
      <c r="E254" s="11"/>
      <c r="F254" s="11"/>
      <c r="G254" s="9"/>
      <c r="H254" s="11"/>
      <c r="I254" s="17"/>
      <c r="J254" s="18" t="str">
        <f aca="false">IF($A254="","",IF(COUNT(Usage!$C:$C)=0,"",MAX(0,SUMIFS(Usage!$C:$C,Usage!$A:$A,$AF254,Usage!$B:$B,"&gt;="&amp;(PlanDate-AduWindow),Usage!$B:$B,"&lt;"&amp;PlanDate))/AduWindow))</f>
        <v/>
      </c>
      <c r="K254" s="18" t="str">
        <f aca="false">IF($A254="","",IF(AND(ISNUMBER($I254),N($I254)&gt;=0),$I254,$J254))</f>
        <v/>
      </c>
      <c r="L254" s="19" t="str">
        <f aca="false">IF($A254="","",IF($K254="","Needs ADU",IF($K254&lt;=0,"No recent demand",IF(N($D254)&lt;=0,"Needs lead time","Planned"))))</f>
        <v/>
      </c>
      <c r="M254" s="8" t="str">
        <f aca="false">IF($A254="","",IF(ISNUMBER(MATCH($C254,Profiles!$A$2:$A$100,0)),$C254,DefaultProfile))</f>
        <v/>
      </c>
      <c r="N254" s="20" t="str">
        <f aca="false">IF($A254="","",INDEX(Profiles!$D$2:$D$100,MATCH($M254,Profiles!$A$2:$A$100,0)))</f>
        <v/>
      </c>
      <c r="O254" s="20" t="str">
        <f aca="false">IF($A254="","",INDEX(Profiles!$E$2:$E$100,MATCH($M254,Profiles!$A$2:$A$100,0)))</f>
        <v/>
      </c>
      <c r="P254" s="21" t="str">
        <f aca="false">IF($L254&lt;&gt;"Planned","",$K254*$D254*$N254*(1+$O254))</f>
        <v/>
      </c>
      <c r="Q254" s="21" t="str">
        <f aca="false">IF($L254&lt;&gt;"Planned","",$K254*$D254)</f>
        <v/>
      </c>
      <c r="R254" s="21" t="str">
        <f aca="false">IF($L254&lt;&gt;"Planned","",MAX(N($E254),$K254*$D254*$N254,$K254*N($G254)))</f>
        <v/>
      </c>
      <c r="S254" s="21" t="str">
        <f aca="false">IF($L254&lt;&gt;"Planned","",$P254)</f>
        <v/>
      </c>
      <c r="T254" s="21" t="str">
        <f aca="false">IF($L254&lt;&gt;"Planned","",$P254+$Q254)</f>
        <v/>
      </c>
      <c r="U254" s="21" t="str">
        <f aca="false">IF($L254&lt;&gt;"Planned","",$T254+$R254)</f>
        <v/>
      </c>
      <c r="V254" s="8" t="str">
        <f aca="false">IF($A254="","",SUMIFS('Open supply'!$C:$C,'Open supply'!$A:$A,$AF254))</f>
        <v/>
      </c>
      <c r="W254" s="8" t="str">
        <f aca="false">IF($A254="","",SUMIFS('Open supply'!$C:$C,'Open supply'!$A:$A,$AF254,'Open supply'!$B:$B,"&lt;"&amp;PlanDate))</f>
        <v/>
      </c>
      <c r="X254" s="8" t="str">
        <f aca="false">IF($A254="","",SUMIFS('Open demand'!$G:$G,'Open demand'!$A:$A,$AF254))</f>
        <v/>
      </c>
      <c r="Y254" s="8" t="str">
        <f aca="false">IF($L254&lt;&gt;"Planned","",N($H254)+$V254-$X254)</f>
        <v/>
      </c>
      <c r="Z254" s="19" t="str">
        <f aca="false">IF($L254&lt;&gt;"Planned","",IF($Y254&lt;=$S254,"Red",IF($Y254&lt;=$T254,"Yellow",IF($Y254&lt;=$U254,"Green","Above green"))))</f>
        <v/>
      </c>
      <c r="AA254" s="22" t="str">
        <f aca="false">IF(OR($L254&lt;&gt;"Planned",N($U254)&lt;=0),"",$Y254/$U254)</f>
        <v/>
      </c>
      <c r="AB254" s="8" t="str">
        <f aca="false">IF($L254&lt;&gt;"Planned","",IF($Y254&lt;=$T254,ROUNDUP(MAX($U254-$Y254,N($E254))/IF(N($F254)&gt;0,$F254,1)-0.000000001,0)*IF(N($F254)&gt;0,$F254,1),""))</f>
        <v/>
      </c>
      <c r="AC254" s="23" t="str">
        <f aca="false">IF(N($AB254)&gt;0,PlanDate+ROUNDUP($D254,0),"")</f>
        <v/>
      </c>
      <c r="AD254" s="19" t="str">
        <f aca="false">IF($L254&lt;&gt;"Planned","",IF(N($H254)&lt;=0,"Stockout",IF(N($H254)&lt;$S254*0.5,"Critical",IF(N($H254)&lt;=$S254,"Low",IF(N($H254)&gt;$U254,"Over top of green","OK")))))</f>
        <v/>
      </c>
      <c r="AE254" s="8" t="str">
        <f aca="false">IF($A254="","",$A254&amp;"")</f>
        <v/>
      </c>
      <c r="AF254" s="8" t="str">
        <f aca="false">IF($A254="","",SUBSTITUTE(SUBSTITUTE(SUBSTITUTE($A254&amp;"","~","~~"),"*","~*"),"?","~?"))</f>
        <v/>
      </c>
    </row>
    <row r="255" customFormat="false" ht="15" hidden="false" customHeight="false" outlineLevel="0" collapsed="false">
      <c r="A255" s="11"/>
      <c r="B255" s="11"/>
      <c r="C255" s="11"/>
      <c r="D255" s="16"/>
      <c r="E255" s="11"/>
      <c r="F255" s="11"/>
      <c r="G255" s="9"/>
      <c r="H255" s="11"/>
      <c r="I255" s="17"/>
      <c r="J255" s="18" t="str">
        <f aca="false">IF($A255="","",IF(COUNT(Usage!$C:$C)=0,"",MAX(0,SUMIFS(Usage!$C:$C,Usage!$A:$A,$AF255,Usage!$B:$B,"&gt;="&amp;(PlanDate-AduWindow),Usage!$B:$B,"&lt;"&amp;PlanDate))/AduWindow))</f>
        <v/>
      </c>
      <c r="K255" s="18" t="str">
        <f aca="false">IF($A255="","",IF(AND(ISNUMBER($I255),N($I255)&gt;=0),$I255,$J255))</f>
        <v/>
      </c>
      <c r="L255" s="19" t="str">
        <f aca="false">IF($A255="","",IF($K255="","Needs ADU",IF($K255&lt;=0,"No recent demand",IF(N($D255)&lt;=0,"Needs lead time","Planned"))))</f>
        <v/>
      </c>
      <c r="M255" s="8" t="str">
        <f aca="false">IF($A255="","",IF(ISNUMBER(MATCH($C255,Profiles!$A$2:$A$100,0)),$C255,DefaultProfile))</f>
        <v/>
      </c>
      <c r="N255" s="20" t="str">
        <f aca="false">IF($A255="","",INDEX(Profiles!$D$2:$D$100,MATCH($M255,Profiles!$A$2:$A$100,0)))</f>
        <v/>
      </c>
      <c r="O255" s="20" t="str">
        <f aca="false">IF($A255="","",INDEX(Profiles!$E$2:$E$100,MATCH($M255,Profiles!$A$2:$A$100,0)))</f>
        <v/>
      </c>
      <c r="P255" s="21" t="str">
        <f aca="false">IF($L255&lt;&gt;"Planned","",$K255*$D255*$N255*(1+$O255))</f>
        <v/>
      </c>
      <c r="Q255" s="21" t="str">
        <f aca="false">IF($L255&lt;&gt;"Planned","",$K255*$D255)</f>
        <v/>
      </c>
      <c r="R255" s="21" t="str">
        <f aca="false">IF($L255&lt;&gt;"Planned","",MAX(N($E255),$K255*$D255*$N255,$K255*N($G255)))</f>
        <v/>
      </c>
      <c r="S255" s="21" t="str">
        <f aca="false">IF($L255&lt;&gt;"Planned","",$P255)</f>
        <v/>
      </c>
      <c r="T255" s="21" t="str">
        <f aca="false">IF($L255&lt;&gt;"Planned","",$P255+$Q255)</f>
        <v/>
      </c>
      <c r="U255" s="21" t="str">
        <f aca="false">IF($L255&lt;&gt;"Planned","",$T255+$R255)</f>
        <v/>
      </c>
      <c r="V255" s="8" t="str">
        <f aca="false">IF($A255="","",SUMIFS('Open supply'!$C:$C,'Open supply'!$A:$A,$AF255))</f>
        <v/>
      </c>
      <c r="W255" s="8" t="str">
        <f aca="false">IF($A255="","",SUMIFS('Open supply'!$C:$C,'Open supply'!$A:$A,$AF255,'Open supply'!$B:$B,"&lt;"&amp;PlanDate))</f>
        <v/>
      </c>
      <c r="X255" s="8" t="str">
        <f aca="false">IF($A255="","",SUMIFS('Open demand'!$G:$G,'Open demand'!$A:$A,$AF255))</f>
        <v/>
      </c>
      <c r="Y255" s="8" t="str">
        <f aca="false">IF($L255&lt;&gt;"Planned","",N($H255)+$V255-$X255)</f>
        <v/>
      </c>
      <c r="Z255" s="19" t="str">
        <f aca="false">IF($L255&lt;&gt;"Planned","",IF($Y255&lt;=$S255,"Red",IF($Y255&lt;=$T255,"Yellow",IF($Y255&lt;=$U255,"Green","Above green"))))</f>
        <v/>
      </c>
      <c r="AA255" s="22" t="str">
        <f aca="false">IF(OR($L255&lt;&gt;"Planned",N($U255)&lt;=0),"",$Y255/$U255)</f>
        <v/>
      </c>
      <c r="AB255" s="8" t="str">
        <f aca="false">IF($L255&lt;&gt;"Planned","",IF($Y255&lt;=$T255,ROUNDUP(MAX($U255-$Y255,N($E255))/IF(N($F255)&gt;0,$F255,1)-0.000000001,0)*IF(N($F255)&gt;0,$F255,1),""))</f>
        <v/>
      </c>
      <c r="AC255" s="23" t="str">
        <f aca="false">IF(N($AB255)&gt;0,PlanDate+ROUNDUP($D255,0),"")</f>
        <v/>
      </c>
      <c r="AD255" s="19" t="str">
        <f aca="false">IF($L255&lt;&gt;"Planned","",IF(N($H255)&lt;=0,"Stockout",IF(N($H255)&lt;$S255*0.5,"Critical",IF(N($H255)&lt;=$S255,"Low",IF(N($H255)&gt;$U255,"Over top of green","OK")))))</f>
        <v/>
      </c>
      <c r="AE255" s="8" t="str">
        <f aca="false">IF($A255="","",$A255&amp;"")</f>
        <v/>
      </c>
      <c r="AF255" s="8" t="str">
        <f aca="false">IF($A255="","",SUBSTITUTE(SUBSTITUTE(SUBSTITUTE($A255&amp;"","~","~~"),"*","~*"),"?","~?"))</f>
        <v/>
      </c>
    </row>
    <row r="256" customFormat="false" ht="15" hidden="false" customHeight="false" outlineLevel="0" collapsed="false">
      <c r="A256" s="11"/>
      <c r="B256" s="11"/>
      <c r="C256" s="11"/>
      <c r="D256" s="16"/>
      <c r="E256" s="11"/>
      <c r="F256" s="11"/>
      <c r="G256" s="9"/>
      <c r="H256" s="11"/>
      <c r="I256" s="17"/>
      <c r="J256" s="18" t="str">
        <f aca="false">IF($A256="","",IF(COUNT(Usage!$C:$C)=0,"",MAX(0,SUMIFS(Usage!$C:$C,Usage!$A:$A,$AF256,Usage!$B:$B,"&gt;="&amp;(PlanDate-AduWindow),Usage!$B:$B,"&lt;"&amp;PlanDate))/AduWindow))</f>
        <v/>
      </c>
      <c r="K256" s="18" t="str">
        <f aca="false">IF($A256="","",IF(AND(ISNUMBER($I256),N($I256)&gt;=0),$I256,$J256))</f>
        <v/>
      </c>
      <c r="L256" s="19" t="str">
        <f aca="false">IF($A256="","",IF($K256="","Needs ADU",IF($K256&lt;=0,"No recent demand",IF(N($D256)&lt;=0,"Needs lead time","Planned"))))</f>
        <v/>
      </c>
      <c r="M256" s="8" t="str">
        <f aca="false">IF($A256="","",IF(ISNUMBER(MATCH($C256,Profiles!$A$2:$A$100,0)),$C256,DefaultProfile))</f>
        <v/>
      </c>
      <c r="N256" s="20" t="str">
        <f aca="false">IF($A256="","",INDEX(Profiles!$D$2:$D$100,MATCH($M256,Profiles!$A$2:$A$100,0)))</f>
        <v/>
      </c>
      <c r="O256" s="20" t="str">
        <f aca="false">IF($A256="","",INDEX(Profiles!$E$2:$E$100,MATCH($M256,Profiles!$A$2:$A$100,0)))</f>
        <v/>
      </c>
      <c r="P256" s="21" t="str">
        <f aca="false">IF($L256&lt;&gt;"Planned","",$K256*$D256*$N256*(1+$O256))</f>
        <v/>
      </c>
      <c r="Q256" s="21" t="str">
        <f aca="false">IF($L256&lt;&gt;"Planned","",$K256*$D256)</f>
        <v/>
      </c>
      <c r="R256" s="21" t="str">
        <f aca="false">IF($L256&lt;&gt;"Planned","",MAX(N($E256),$K256*$D256*$N256,$K256*N($G256)))</f>
        <v/>
      </c>
      <c r="S256" s="21" t="str">
        <f aca="false">IF($L256&lt;&gt;"Planned","",$P256)</f>
        <v/>
      </c>
      <c r="T256" s="21" t="str">
        <f aca="false">IF($L256&lt;&gt;"Planned","",$P256+$Q256)</f>
        <v/>
      </c>
      <c r="U256" s="21" t="str">
        <f aca="false">IF($L256&lt;&gt;"Planned","",$T256+$R256)</f>
        <v/>
      </c>
      <c r="V256" s="8" t="str">
        <f aca="false">IF($A256="","",SUMIFS('Open supply'!$C:$C,'Open supply'!$A:$A,$AF256))</f>
        <v/>
      </c>
      <c r="W256" s="8" t="str">
        <f aca="false">IF($A256="","",SUMIFS('Open supply'!$C:$C,'Open supply'!$A:$A,$AF256,'Open supply'!$B:$B,"&lt;"&amp;PlanDate))</f>
        <v/>
      </c>
      <c r="X256" s="8" t="str">
        <f aca="false">IF($A256="","",SUMIFS('Open demand'!$G:$G,'Open demand'!$A:$A,$AF256))</f>
        <v/>
      </c>
      <c r="Y256" s="8" t="str">
        <f aca="false">IF($L256&lt;&gt;"Planned","",N($H256)+$V256-$X256)</f>
        <v/>
      </c>
      <c r="Z256" s="19" t="str">
        <f aca="false">IF($L256&lt;&gt;"Planned","",IF($Y256&lt;=$S256,"Red",IF($Y256&lt;=$T256,"Yellow",IF($Y256&lt;=$U256,"Green","Above green"))))</f>
        <v/>
      </c>
      <c r="AA256" s="22" t="str">
        <f aca="false">IF(OR($L256&lt;&gt;"Planned",N($U256)&lt;=0),"",$Y256/$U256)</f>
        <v/>
      </c>
      <c r="AB256" s="8" t="str">
        <f aca="false">IF($L256&lt;&gt;"Planned","",IF($Y256&lt;=$T256,ROUNDUP(MAX($U256-$Y256,N($E256))/IF(N($F256)&gt;0,$F256,1)-0.000000001,0)*IF(N($F256)&gt;0,$F256,1),""))</f>
        <v/>
      </c>
      <c r="AC256" s="23" t="str">
        <f aca="false">IF(N($AB256)&gt;0,PlanDate+ROUNDUP($D256,0),"")</f>
        <v/>
      </c>
      <c r="AD256" s="19" t="str">
        <f aca="false">IF($L256&lt;&gt;"Planned","",IF(N($H256)&lt;=0,"Stockout",IF(N($H256)&lt;$S256*0.5,"Critical",IF(N($H256)&lt;=$S256,"Low",IF(N($H256)&gt;$U256,"Over top of green","OK")))))</f>
        <v/>
      </c>
      <c r="AE256" s="8" t="str">
        <f aca="false">IF($A256="","",$A256&amp;"")</f>
        <v/>
      </c>
      <c r="AF256" s="8" t="str">
        <f aca="false">IF($A256="","",SUBSTITUTE(SUBSTITUTE(SUBSTITUTE($A256&amp;"","~","~~"),"*","~*"),"?","~?"))</f>
        <v/>
      </c>
    </row>
    <row r="257" customFormat="false" ht="15" hidden="false" customHeight="false" outlineLevel="0" collapsed="false">
      <c r="A257" s="11"/>
      <c r="B257" s="11"/>
      <c r="C257" s="11"/>
      <c r="D257" s="16"/>
      <c r="E257" s="11"/>
      <c r="F257" s="11"/>
      <c r="G257" s="9"/>
      <c r="H257" s="11"/>
      <c r="I257" s="17"/>
      <c r="J257" s="18" t="str">
        <f aca="false">IF($A257="","",IF(COUNT(Usage!$C:$C)=0,"",MAX(0,SUMIFS(Usage!$C:$C,Usage!$A:$A,$AF257,Usage!$B:$B,"&gt;="&amp;(PlanDate-AduWindow),Usage!$B:$B,"&lt;"&amp;PlanDate))/AduWindow))</f>
        <v/>
      </c>
      <c r="K257" s="18" t="str">
        <f aca="false">IF($A257="","",IF(AND(ISNUMBER($I257),N($I257)&gt;=0),$I257,$J257))</f>
        <v/>
      </c>
      <c r="L257" s="19" t="str">
        <f aca="false">IF($A257="","",IF($K257="","Needs ADU",IF($K257&lt;=0,"No recent demand",IF(N($D257)&lt;=0,"Needs lead time","Planned"))))</f>
        <v/>
      </c>
      <c r="M257" s="8" t="str">
        <f aca="false">IF($A257="","",IF(ISNUMBER(MATCH($C257,Profiles!$A$2:$A$100,0)),$C257,DefaultProfile))</f>
        <v/>
      </c>
      <c r="N257" s="20" t="str">
        <f aca="false">IF($A257="","",INDEX(Profiles!$D$2:$D$100,MATCH($M257,Profiles!$A$2:$A$100,0)))</f>
        <v/>
      </c>
      <c r="O257" s="20" t="str">
        <f aca="false">IF($A257="","",INDEX(Profiles!$E$2:$E$100,MATCH($M257,Profiles!$A$2:$A$100,0)))</f>
        <v/>
      </c>
      <c r="P257" s="21" t="str">
        <f aca="false">IF($L257&lt;&gt;"Planned","",$K257*$D257*$N257*(1+$O257))</f>
        <v/>
      </c>
      <c r="Q257" s="21" t="str">
        <f aca="false">IF($L257&lt;&gt;"Planned","",$K257*$D257)</f>
        <v/>
      </c>
      <c r="R257" s="21" t="str">
        <f aca="false">IF($L257&lt;&gt;"Planned","",MAX(N($E257),$K257*$D257*$N257,$K257*N($G257)))</f>
        <v/>
      </c>
      <c r="S257" s="21" t="str">
        <f aca="false">IF($L257&lt;&gt;"Planned","",$P257)</f>
        <v/>
      </c>
      <c r="T257" s="21" t="str">
        <f aca="false">IF($L257&lt;&gt;"Planned","",$P257+$Q257)</f>
        <v/>
      </c>
      <c r="U257" s="21" t="str">
        <f aca="false">IF($L257&lt;&gt;"Planned","",$T257+$R257)</f>
        <v/>
      </c>
      <c r="V257" s="8" t="str">
        <f aca="false">IF($A257="","",SUMIFS('Open supply'!$C:$C,'Open supply'!$A:$A,$AF257))</f>
        <v/>
      </c>
      <c r="W257" s="8" t="str">
        <f aca="false">IF($A257="","",SUMIFS('Open supply'!$C:$C,'Open supply'!$A:$A,$AF257,'Open supply'!$B:$B,"&lt;"&amp;PlanDate))</f>
        <v/>
      </c>
      <c r="X257" s="8" t="str">
        <f aca="false">IF($A257="","",SUMIFS('Open demand'!$G:$G,'Open demand'!$A:$A,$AF257))</f>
        <v/>
      </c>
      <c r="Y257" s="8" t="str">
        <f aca="false">IF($L257&lt;&gt;"Planned","",N($H257)+$V257-$X257)</f>
        <v/>
      </c>
      <c r="Z257" s="19" t="str">
        <f aca="false">IF($L257&lt;&gt;"Planned","",IF($Y257&lt;=$S257,"Red",IF($Y257&lt;=$T257,"Yellow",IF($Y257&lt;=$U257,"Green","Above green"))))</f>
        <v/>
      </c>
      <c r="AA257" s="22" t="str">
        <f aca="false">IF(OR($L257&lt;&gt;"Planned",N($U257)&lt;=0),"",$Y257/$U257)</f>
        <v/>
      </c>
      <c r="AB257" s="8" t="str">
        <f aca="false">IF($L257&lt;&gt;"Planned","",IF($Y257&lt;=$T257,ROUNDUP(MAX($U257-$Y257,N($E257))/IF(N($F257)&gt;0,$F257,1)-0.000000001,0)*IF(N($F257)&gt;0,$F257,1),""))</f>
        <v/>
      </c>
      <c r="AC257" s="23" t="str">
        <f aca="false">IF(N($AB257)&gt;0,PlanDate+ROUNDUP($D257,0),"")</f>
        <v/>
      </c>
      <c r="AD257" s="19" t="str">
        <f aca="false">IF($L257&lt;&gt;"Planned","",IF(N($H257)&lt;=0,"Stockout",IF(N($H257)&lt;$S257*0.5,"Critical",IF(N($H257)&lt;=$S257,"Low",IF(N($H257)&gt;$U257,"Over top of green","OK")))))</f>
        <v/>
      </c>
      <c r="AE257" s="8" t="str">
        <f aca="false">IF($A257="","",$A257&amp;"")</f>
        <v/>
      </c>
      <c r="AF257" s="8" t="str">
        <f aca="false">IF($A257="","",SUBSTITUTE(SUBSTITUTE(SUBSTITUTE($A257&amp;"","~","~~"),"*","~*"),"?","~?"))</f>
        <v/>
      </c>
    </row>
    <row r="258" customFormat="false" ht="15" hidden="false" customHeight="false" outlineLevel="0" collapsed="false">
      <c r="A258" s="11"/>
      <c r="B258" s="11"/>
      <c r="C258" s="11"/>
      <c r="D258" s="16"/>
      <c r="E258" s="11"/>
      <c r="F258" s="11"/>
      <c r="G258" s="9"/>
      <c r="H258" s="11"/>
      <c r="I258" s="17"/>
      <c r="J258" s="18" t="str">
        <f aca="false">IF($A258="","",IF(COUNT(Usage!$C:$C)=0,"",MAX(0,SUMIFS(Usage!$C:$C,Usage!$A:$A,$AF258,Usage!$B:$B,"&gt;="&amp;(PlanDate-AduWindow),Usage!$B:$B,"&lt;"&amp;PlanDate))/AduWindow))</f>
        <v/>
      </c>
      <c r="K258" s="18" t="str">
        <f aca="false">IF($A258="","",IF(AND(ISNUMBER($I258),N($I258)&gt;=0),$I258,$J258))</f>
        <v/>
      </c>
      <c r="L258" s="19" t="str">
        <f aca="false">IF($A258="","",IF($K258="","Needs ADU",IF($K258&lt;=0,"No recent demand",IF(N($D258)&lt;=0,"Needs lead time","Planned"))))</f>
        <v/>
      </c>
      <c r="M258" s="8" t="str">
        <f aca="false">IF($A258="","",IF(ISNUMBER(MATCH($C258,Profiles!$A$2:$A$100,0)),$C258,DefaultProfile))</f>
        <v/>
      </c>
      <c r="N258" s="20" t="str">
        <f aca="false">IF($A258="","",INDEX(Profiles!$D$2:$D$100,MATCH($M258,Profiles!$A$2:$A$100,0)))</f>
        <v/>
      </c>
      <c r="O258" s="20" t="str">
        <f aca="false">IF($A258="","",INDEX(Profiles!$E$2:$E$100,MATCH($M258,Profiles!$A$2:$A$100,0)))</f>
        <v/>
      </c>
      <c r="P258" s="21" t="str">
        <f aca="false">IF($L258&lt;&gt;"Planned","",$K258*$D258*$N258*(1+$O258))</f>
        <v/>
      </c>
      <c r="Q258" s="21" t="str">
        <f aca="false">IF($L258&lt;&gt;"Planned","",$K258*$D258)</f>
        <v/>
      </c>
      <c r="R258" s="21" t="str">
        <f aca="false">IF($L258&lt;&gt;"Planned","",MAX(N($E258),$K258*$D258*$N258,$K258*N($G258)))</f>
        <v/>
      </c>
      <c r="S258" s="21" t="str">
        <f aca="false">IF($L258&lt;&gt;"Planned","",$P258)</f>
        <v/>
      </c>
      <c r="T258" s="21" t="str">
        <f aca="false">IF($L258&lt;&gt;"Planned","",$P258+$Q258)</f>
        <v/>
      </c>
      <c r="U258" s="21" t="str">
        <f aca="false">IF($L258&lt;&gt;"Planned","",$T258+$R258)</f>
        <v/>
      </c>
      <c r="V258" s="8" t="str">
        <f aca="false">IF($A258="","",SUMIFS('Open supply'!$C:$C,'Open supply'!$A:$A,$AF258))</f>
        <v/>
      </c>
      <c r="W258" s="8" t="str">
        <f aca="false">IF($A258="","",SUMIFS('Open supply'!$C:$C,'Open supply'!$A:$A,$AF258,'Open supply'!$B:$B,"&lt;"&amp;PlanDate))</f>
        <v/>
      </c>
      <c r="X258" s="8" t="str">
        <f aca="false">IF($A258="","",SUMIFS('Open demand'!$G:$G,'Open demand'!$A:$A,$AF258))</f>
        <v/>
      </c>
      <c r="Y258" s="8" t="str">
        <f aca="false">IF($L258&lt;&gt;"Planned","",N($H258)+$V258-$X258)</f>
        <v/>
      </c>
      <c r="Z258" s="19" t="str">
        <f aca="false">IF($L258&lt;&gt;"Planned","",IF($Y258&lt;=$S258,"Red",IF($Y258&lt;=$T258,"Yellow",IF($Y258&lt;=$U258,"Green","Above green"))))</f>
        <v/>
      </c>
      <c r="AA258" s="22" t="str">
        <f aca="false">IF(OR($L258&lt;&gt;"Planned",N($U258)&lt;=0),"",$Y258/$U258)</f>
        <v/>
      </c>
      <c r="AB258" s="8" t="str">
        <f aca="false">IF($L258&lt;&gt;"Planned","",IF($Y258&lt;=$T258,ROUNDUP(MAX($U258-$Y258,N($E258))/IF(N($F258)&gt;0,$F258,1)-0.000000001,0)*IF(N($F258)&gt;0,$F258,1),""))</f>
        <v/>
      </c>
      <c r="AC258" s="23" t="str">
        <f aca="false">IF(N($AB258)&gt;0,PlanDate+ROUNDUP($D258,0),"")</f>
        <v/>
      </c>
      <c r="AD258" s="19" t="str">
        <f aca="false">IF($L258&lt;&gt;"Planned","",IF(N($H258)&lt;=0,"Stockout",IF(N($H258)&lt;$S258*0.5,"Critical",IF(N($H258)&lt;=$S258,"Low",IF(N($H258)&gt;$U258,"Over top of green","OK")))))</f>
        <v/>
      </c>
      <c r="AE258" s="8" t="str">
        <f aca="false">IF($A258="","",$A258&amp;"")</f>
        <v/>
      </c>
      <c r="AF258" s="8" t="str">
        <f aca="false">IF($A258="","",SUBSTITUTE(SUBSTITUTE(SUBSTITUTE($A258&amp;"","~","~~"),"*","~*"),"?","~?"))</f>
        <v/>
      </c>
    </row>
    <row r="259" customFormat="false" ht="15" hidden="false" customHeight="false" outlineLevel="0" collapsed="false">
      <c r="A259" s="11"/>
      <c r="B259" s="11"/>
      <c r="C259" s="11"/>
      <c r="D259" s="16"/>
      <c r="E259" s="11"/>
      <c r="F259" s="11"/>
      <c r="G259" s="9"/>
      <c r="H259" s="11"/>
      <c r="I259" s="17"/>
      <c r="J259" s="18" t="str">
        <f aca="false">IF($A259="","",IF(COUNT(Usage!$C:$C)=0,"",MAX(0,SUMIFS(Usage!$C:$C,Usage!$A:$A,$AF259,Usage!$B:$B,"&gt;="&amp;(PlanDate-AduWindow),Usage!$B:$B,"&lt;"&amp;PlanDate))/AduWindow))</f>
        <v/>
      </c>
      <c r="K259" s="18" t="str">
        <f aca="false">IF($A259="","",IF(AND(ISNUMBER($I259),N($I259)&gt;=0),$I259,$J259))</f>
        <v/>
      </c>
      <c r="L259" s="19" t="str">
        <f aca="false">IF($A259="","",IF($K259="","Needs ADU",IF($K259&lt;=0,"No recent demand",IF(N($D259)&lt;=0,"Needs lead time","Planned"))))</f>
        <v/>
      </c>
      <c r="M259" s="8" t="str">
        <f aca="false">IF($A259="","",IF(ISNUMBER(MATCH($C259,Profiles!$A$2:$A$100,0)),$C259,DefaultProfile))</f>
        <v/>
      </c>
      <c r="N259" s="20" t="str">
        <f aca="false">IF($A259="","",INDEX(Profiles!$D$2:$D$100,MATCH($M259,Profiles!$A$2:$A$100,0)))</f>
        <v/>
      </c>
      <c r="O259" s="20" t="str">
        <f aca="false">IF($A259="","",INDEX(Profiles!$E$2:$E$100,MATCH($M259,Profiles!$A$2:$A$100,0)))</f>
        <v/>
      </c>
      <c r="P259" s="21" t="str">
        <f aca="false">IF($L259&lt;&gt;"Planned","",$K259*$D259*$N259*(1+$O259))</f>
        <v/>
      </c>
      <c r="Q259" s="21" t="str">
        <f aca="false">IF($L259&lt;&gt;"Planned","",$K259*$D259)</f>
        <v/>
      </c>
      <c r="R259" s="21" t="str">
        <f aca="false">IF($L259&lt;&gt;"Planned","",MAX(N($E259),$K259*$D259*$N259,$K259*N($G259)))</f>
        <v/>
      </c>
      <c r="S259" s="21" t="str">
        <f aca="false">IF($L259&lt;&gt;"Planned","",$P259)</f>
        <v/>
      </c>
      <c r="T259" s="21" t="str">
        <f aca="false">IF($L259&lt;&gt;"Planned","",$P259+$Q259)</f>
        <v/>
      </c>
      <c r="U259" s="21" t="str">
        <f aca="false">IF($L259&lt;&gt;"Planned","",$T259+$R259)</f>
        <v/>
      </c>
      <c r="V259" s="8" t="str">
        <f aca="false">IF($A259="","",SUMIFS('Open supply'!$C:$C,'Open supply'!$A:$A,$AF259))</f>
        <v/>
      </c>
      <c r="W259" s="8" t="str">
        <f aca="false">IF($A259="","",SUMIFS('Open supply'!$C:$C,'Open supply'!$A:$A,$AF259,'Open supply'!$B:$B,"&lt;"&amp;PlanDate))</f>
        <v/>
      </c>
      <c r="X259" s="8" t="str">
        <f aca="false">IF($A259="","",SUMIFS('Open demand'!$G:$G,'Open demand'!$A:$A,$AF259))</f>
        <v/>
      </c>
      <c r="Y259" s="8" t="str">
        <f aca="false">IF($L259&lt;&gt;"Planned","",N($H259)+$V259-$X259)</f>
        <v/>
      </c>
      <c r="Z259" s="19" t="str">
        <f aca="false">IF($L259&lt;&gt;"Planned","",IF($Y259&lt;=$S259,"Red",IF($Y259&lt;=$T259,"Yellow",IF($Y259&lt;=$U259,"Green","Above green"))))</f>
        <v/>
      </c>
      <c r="AA259" s="22" t="str">
        <f aca="false">IF(OR($L259&lt;&gt;"Planned",N($U259)&lt;=0),"",$Y259/$U259)</f>
        <v/>
      </c>
      <c r="AB259" s="8" t="str">
        <f aca="false">IF($L259&lt;&gt;"Planned","",IF($Y259&lt;=$T259,ROUNDUP(MAX($U259-$Y259,N($E259))/IF(N($F259)&gt;0,$F259,1)-0.000000001,0)*IF(N($F259)&gt;0,$F259,1),""))</f>
        <v/>
      </c>
      <c r="AC259" s="23" t="str">
        <f aca="false">IF(N($AB259)&gt;0,PlanDate+ROUNDUP($D259,0),"")</f>
        <v/>
      </c>
      <c r="AD259" s="19" t="str">
        <f aca="false">IF($L259&lt;&gt;"Planned","",IF(N($H259)&lt;=0,"Stockout",IF(N($H259)&lt;$S259*0.5,"Critical",IF(N($H259)&lt;=$S259,"Low",IF(N($H259)&gt;$U259,"Over top of green","OK")))))</f>
        <v/>
      </c>
      <c r="AE259" s="8" t="str">
        <f aca="false">IF($A259="","",$A259&amp;"")</f>
        <v/>
      </c>
      <c r="AF259" s="8" t="str">
        <f aca="false">IF($A259="","",SUBSTITUTE(SUBSTITUTE(SUBSTITUTE($A259&amp;"","~","~~"),"*","~*"),"?","~?"))</f>
        <v/>
      </c>
    </row>
    <row r="260" customFormat="false" ht="15" hidden="false" customHeight="false" outlineLevel="0" collapsed="false">
      <c r="A260" s="11"/>
      <c r="B260" s="11"/>
      <c r="C260" s="11"/>
      <c r="D260" s="16"/>
      <c r="E260" s="11"/>
      <c r="F260" s="11"/>
      <c r="G260" s="9"/>
      <c r="H260" s="11"/>
      <c r="I260" s="17"/>
      <c r="J260" s="18" t="str">
        <f aca="false">IF($A260="","",IF(COUNT(Usage!$C:$C)=0,"",MAX(0,SUMIFS(Usage!$C:$C,Usage!$A:$A,$AF260,Usage!$B:$B,"&gt;="&amp;(PlanDate-AduWindow),Usage!$B:$B,"&lt;"&amp;PlanDate))/AduWindow))</f>
        <v/>
      </c>
      <c r="K260" s="18" t="str">
        <f aca="false">IF($A260="","",IF(AND(ISNUMBER($I260),N($I260)&gt;=0),$I260,$J260))</f>
        <v/>
      </c>
      <c r="L260" s="19" t="str">
        <f aca="false">IF($A260="","",IF($K260="","Needs ADU",IF($K260&lt;=0,"No recent demand",IF(N($D260)&lt;=0,"Needs lead time","Planned"))))</f>
        <v/>
      </c>
      <c r="M260" s="8" t="str">
        <f aca="false">IF($A260="","",IF(ISNUMBER(MATCH($C260,Profiles!$A$2:$A$100,0)),$C260,DefaultProfile))</f>
        <v/>
      </c>
      <c r="N260" s="20" t="str">
        <f aca="false">IF($A260="","",INDEX(Profiles!$D$2:$D$100,MATCH($M260,Profiles!$A$2:$A$100,0)))</f>
        <v/>
      </c>
      <c r="O260" s="20" t="str">
        <f aca="false">IF($A260="","",INDEX(Profiles!$E$2:$E$100,MATCH($M260,Profiles!$A$2:$A$100,0)))</f>
        <v/>
      </c>
      <c r="P260" s="21" t="str">
        <f aca="false">IF($L260&lt;&gt;"Planned","",$K260*$D260*$N260*(1+$O260))</f>
        <v/>
      </c>
      <c r="Q260" s="21" t="str">
        <f aca="false">IF($L260&lt;&gt;"Planned","",$K260*$D260)</f>
        <v/>
      </c>
      <c r="R260" s="21" t="str">
        <f aca="false">IF($L260&lt;&gt;"Planned","",MAX(N($E260),$K260*$D260*$N260,$K260*N($G260)))</f>
        <v/>
      </c>
      <c r="S260" s="21" t="str">
        <f aca="false">IF($L260&lt;&gt;"Planned","",$P260)</f>
        <v/>
      </c>
      <c r="T260" s="21" t="str">
        <f aca="false">IF($L260&lt;&gt;"Planned","",$P260+$Q260)</f>
        <v/>
      </c>
      <c r="U260" s="21" t="str">
        <f aca="false">IF($L260&lt;&gt;"Planned","",$T260+$R260)</f>
        <v/>
      </c>
      <c r="V260" s="8" t="str">
        <f aca="false">IF($A260="","",SUMIFS('Open supply'!$C:$C,'Open supply'!$A:$A,$AF260))</f>
        <v/>
      </c>
      <c r="W260" s="8" t="str">
        <f aca="false">IF($A260="","",SUMIFS('Open supply'!$C:$C,'Open supply'!$A:$A,$AF260,'Open supply'!$B:$B,"&lt;"&amp;PlanDate))</f>
        <v/>
      </c>
      <c r="X260" s="8" t="str">
        <f aca="false">IF($A260="","",SUMIFS('Open demand'!$G:$G,'Open demand'!$A:$A,$AF260))</f>
        <v/>
      </c>
      <c r="Y260" s="8" t="str">
        <f aca="false">IF($L260&lt;&gt;"Planned","",N($H260)+$V260-$X260)</f>
        <v/>
      </c>
      <c r="Z260" s="19" t="str">
        <f aca="false">IF($L260&lt;&gt;"Planned","",IF($Y260&lt;=$S260,"Red",IF($Y260&lt;=$T260,"Yellow",IF($Y260&lt;=$U260,"Green","Above green"))))</f>
        <v/>
      </c>
      <c r="AA260" s="22" t="str">
        <f aca="false">IF(OR($L260&lt;&gt;"Planned",N($U260)&lt;=0),"",$Y260/$U260)</f>
        <v/>
      </c>
      <c r="AB260" s="8" t="str">
        <f aca="false">IF($L260&lt;&gt;"Planned","",IF($Y260&lt;=$T260,ROUNDUP(MAX($U260-$Y260,N($E260))/IF(N($F260)&gt;0,$F260,1)-0.000000001,0)*IF(N($F260)&gt;0,$F260,1),""))</f>
        <v/>
      </c>
      <c r="AC260" s="23" t="str">
        <f aca="false">IF(N($AB260)&gt;0,PlanDate+ROUNDUP($D260,0),"")</f>
        <v/>
      </c>
      <c r="AD260" s="19" t="str">
        <f aca="false">IF($L260&lt;&gt;"Planned","",IF(N($H260)&lt;=0,"Stockout",IF(N($H260)&lt;$S260*0.5,"Critical",IF(N($H260)&lt;=$S260,"Low",IF(N($H260)&gt;$U260,"Over top of green","OK")))))</f>
        <v/>
      </c>
      <c r="AE260" s="8" t="str">
        <f aca="false">IF($A260="","",$A260&amp;"")</f>
        <v/>
      </c>
      <c r="AF260" s="8" t="str">
        <f aca="false">IF($A260="","",SUBSTITUTE(SUBSTITUTE(SUBSTITUTE($A260&amp;"","~","~~"),"*","~*"),"?","~?"))</f>
        <v/>
      </c>
    </row>
    <row r="261" customFormat="false" ht="15" hidden="false" customHeight="false" outlineLevel="0" collapsed="false">
      <c r="A261" s="11"/>
      <c r="B261" s="11"/>
      <c r="C261" s="11"/>
      <c r="D261" s="16"/>
      <c r="E261" s="11"/>
      <c r="F261" s="11"/>
      <c r="G261" s="9"/>
      <c r="H261" s="11"/>
      <c r="I261" s="17"/>
      <c r="J261" s="18" t="str">
        <f aca="false">IF($A261="","",IF(COUNT(Usage!$C:$C)=0,"",MAX(0,SUMIFS(Usage!$C:$C,Usage!$A:$A,$AF261,Usage!$B:$B,"&gt;="&amp;(PlanDate-AduWindow),Usage!$B:$B,"&lt;"&amp;PlanDate))/AduWindow))</f>
        <v/>
      </c>
      <c r="K261" s="18" t="str">
        <f aca="false">IF($A261="","",IF(AND(ISNUMBER($I261),N($I261)&gt;=0),$I261,$J261))</f>
        <v/>
      </c>
      <c r="L261" s="19" t="str">
        <f aca="false">IF($A261="","",IF($K261="","Needs ADU",IF($K261&lt;=0,"No recent demand",IF(N($D261)&lt;=0,"Needs lead time","Planned"))))</f>
        <v/>
      </c>
      <c r="M261" s="8" t="str">
        <f aca="false">IF($A261="","",IF(ISNUMBER(MATCH($C261,Profiles!$A$2:$A$100,0)),$C261,DefaultProfile))</f>
        <v/>
      </c>
      <c r="N261" s="20" t="str">
        <f aca="false">IF($A261="","",INDEX(Profiles!$D$2:$D$100,MATCH($M261,Profiles!$A$2:$A$100,0)))</f>
        <v/>
      </c>
      <c r="O261" s="20" t="str">
        <f aca="false">IF($A261="","",INDEX(Profiles!$E$2:$E$100,MATCH($M261,Profiles!$A$2:$A$100,0)))</f>
        <v/>
      </c>
      <c r="P261" s="21" t="str">
        <f aca="false">IF($L261&lt;&gt;"Planned","",$K261*$D261*$N261*(1+$O261))</f>
        <v/>
      </c>
      <c r="Q261" s="21" t="str">
        <f aca="false">IF($L261&lt;&gt;"Planned","",$K261*$D261)</f>
        <v/>
      </c>
      <c r="R261" s="21" t="str">
        <f aca="false">IF($L261&lt;&gt;"Planned","",MAX(N($E261),$K261*$D261*$N261,$K261*N($G261)))</f>
        <v/>
      </c>
      <c r="S261" s="21" t="str">
        <f aca="false">IF($L261&lt;&gt;"Planned","",$P261)</f>
        <v/>
      </c>
      <c r="T261" s="21" t="str">
        <f aca="false">IF($L261&lt;&gt;"Planned","",$P261+$Q261)</f>
        <v/>
      </c>
      <c r="U261" s="21" t="str">
        <f aca="false">IF($L261&lt;&gt;"Planned","",$T261+$R261)</f>
        <v/>
      </c>
      <c r="V261" s="8" t="str">
        <f aca="false">IF($A261="","",SUMIFS('Open supply'!$C:$C,'Open supply'!$A:$A,$AF261))</f>
        <v/>
      </c>
      <c r="W261" s="8" t="str">
        <f aca="false">IF($A261="","",SUMIFS('Open supply'!$C:$C,'Open supply'!$A:$A,$AF261,'Open supply'!$B:$B,"&lt;"&amp;PlanDate))</f>
        <v/>
      </c>
      <c r="X261" s="8" t="str">
        <f aca="false">IF($A261="","",SUMIFS('Open demand'!$G:$G,'Open demand'!$A:$A,$AF261))</f>
        <v/>
      </c>
      <c r="Y261" s="8" t="str">
        <f aca="false">IF($L261&lt;&gt;"Planned","",N($H261)+$V261-$X261)</f>
        <v/>
      </c>
      <c r="Z261" s="19" t="str">
        <f aca="false">IF($L261&lt;&gt;"Planned","",IF($Y261&lt;=$S261,"Red",IF($Y261&lt;=$T261,"Yellow",IF($Y261&lt;=$U261,"Green","Above green"))))</f>
        <v/>
      </c>
      <c r="AA261" s="22" t="str">
        <f aca="false">IF(OR($L261&lt;&gt;"Planned",N($U261)&lt;=0),"",$Y261/$U261)</f>
        <v/>
      </c>
      <c r="AB261" s="8" t="str">
        <f aca="false">IF($L261&lt;&gt;"Planned","",IF($Y261&lt;=$T261,ROUNDUP(MAX($U261-$Y261,N($E261))/IF(N($F261)&gt;0,$F261,1)-0.000000001,0)*IF(N($F261)&gt;0,$F261,1),""))</f>
        <v/>
      </c>
      <c r="AC261" s="23" t="str">
        <f aca="false">IF(N($AB261)&gt;0,PlanDate+ROUNDUP($D261,0),"")</f>
        <v/>
      </c>
      <c r="AD261" s="19" t="str">
        <f aca="false">IF($L261&lt;&gt;"Planned","",IF(N($H261)&lt;=0,"Stockout",IF(N($H261)&lt;$S261*0.5,"Critical",IF(N($H261)&lt;=$S261,"Low",IF(N($H261)&gt;$U261,"Over top of green","OK")))))</f>
        <v/>
      </c>
      <c r="AE261" s="8" t="str">
        <f aca="false">IF($A261="","",$A261&amp;"")</f>
        <v/>
      </c>
      <c r="AF261" s="8" t="str">
        <f aca="false">IF($A261="","",SUBSTITUTE(SUBSTITUTE(SUBSTITUTE($A261&amp;"","~","~~"),"*","~*"),"?","~?"))</f>
        <v/>
      </c>
    </row>
    <row r="262" customFormat="false" ht="15" hidden="false" customHeight="false" outlineLevel="0" collapsed="false">
      <c r="A262" s="11"/>
      <c r="B262" s="11"/>
      <c r="C262" s="11"/>
      <c r="D262" s="16"/>
      <c r="E262" s="11"/>
      <c r="F262" s="11"/>
      <c r="G262" s="9"/>
      <c r="H262" s="11"/>
      <c r="I262" s="17"/>
      <c r="J262" s="18" t="str">
        <f aca="false">IF($A262="","",IF(COUNT(Usage!$C:$C)=0,"",MAX(0,SUMIFS(Usage!$C:$C,Usage!$A:$A,$AF262,Usage!$B:$B,"&gt;="&amp;(PlanDate-AduWindow),Usage!$B:$B,"&lt;"&amp;PlanDate))/AduWindow))</f>
        <v/>
      </c>
      <c r="K262" s="18" t="str">
        <f aca="false">IF($A262="","",IF(AND(ISNUMBER($I262),N($I262)&gt;=0),$I262,$J262))</f>
        <v/>
      </c>
      <c r="L262" s="19" t="str">
        <f aca="false">IF($A262="","",IF($K262="","Needs ADU",IF($K262&lt;=0,"No recent demand",IF(N($D262)&lt;=0,"Needs lead time","Planned"))))</f>
        <v/>
      </c>
      <c r="M262" s="8" t="str">
        <f aca="false">IF($A262="","",IF(ISNUMBER(MATCH($C262,Profiles!$A$2:$A$100,0)),$C262,DefaultProfile))</f>
        <v/>
      </c>
      <c r="N262" s="20" t="str">
        <f aca="false">IF($A262="","",INDEX(Profiles!$D$2:$D$100,MATCH($M262,Profiles!$A$2:$A$100,0)))</f>
        <v/>
      </c>
      <c r="O262" s="20" t="str">
        <f aca="false">IF($A262="","",INDEX(Profiles!$E$2:$E$100,MATCH($M262,Profiles!$A$2:$A$100,0)))</f>
        <v/>
      </c>
      <c r="P262" s="21" t="str">
        <f aca="false">IF($L262&lt;&gt;"Planned","",$K262*$D262*$N262*(1+$O262))</f>
        <v/>
      </c>
      <c r="Q262" s="21" t="str">
        <f aca="false">IF($L262&lt;&gt;"Planned","",$K262*$D262)</f>
        <v/>
      </c>
      <c r="R262" s="21" t="str">
        <f aca="false">IF($L262&lt;&gt;"Planned","",MAX(N($E262),$K262*$D262*$N262,$K262*N($G262)))</f>
        <v/>
      </c>
      <c r="S262" s="21" t="str">
        <f aca="false">IF($L262&lt;&gt;"Planned","",$P262)</f>
        <v/>
      </c>
      <c r="T262" s="21" t="str">
        <f aca="false">IF($L262&lt;&gt;"Planned","",$P262+$Q262)</f>
        <v/>
      </c>
      <c r="U262" s="21" t="str">
        <f aca="false">IF($L262&lt;&gt;"Planned","",$T262+$R262)</f>
        <v/>
      </c>
      <c r="V262" s="8" t="str">
        <f aca="false">IF($A262="","",SUMIFS('Open supply'!$C:$C,'Open supply'!$A:$A,$AF262))</f>
        <v/>
      </c>
      <c r="W262" s="8" t="str">
        <f aca="false">IF($A262="","",SUMIFS('Open supply'!$C:$C,'Open supply'!$A:$A,$AF262,'Open supply'!$B:$B,"&lt;"&amp;PlanDate))</f>
        <v/>
      </c>
      <c r="X262" s="8" t="str">
        <f aca="false">IF($A262="","",SUMIFS('Open demand'!$G:$G,'Open demand'!$A:$A,$AF262))</f>
        <v/>
      </c>
      <c r="Y262" s="8" t="str">
        <f aca="false">IF($L262&lt;&gt;"Planned","",N($H262)+$V262-$X262)</f>
        <v/>
      </c>
      <c r="Z262" s="19" t="str">
        <f aca="false">IF($L262&lt;&gt;"Planned","",IF($Y262&lt;=$S262,"Red",IF($Y262&lt;=$T262,"Yellow",IF($Y262&lt;=$U262,"Green","Above green"))))</f>
        <v/>
      </c>
      <c r="AA262" s="22" t="str">
        <f aca="false">IF(OR($L262&lt;&gt;"Planned",N($U262)&lt;=0),"",$Y262/$U262)</f>
        <v/>
      </c>
      <c r="AB262" s="8" t="str">
        <f aca="false">IF($L262&lt;&gt;"Planned","",IF($Y262&lt;=$T262,ROUNDUP(MAX($U262-$Y262,N($E262))/IF(N($F262)&gt;0,$F262,1)-0.000000001,0)*IF(N($F262)&gt;0,$F262,1),""))</f>
        <v/>
      </c>
      <c r="AC262" s="23" t="str">
        <f aca="false">IF(N($AB262)&gt;0,PlanDate+ROUNDUP($D262,0),"")</f>
        <v/>
      </c>
      <c r="AD262" s="19" t="str">
        <f aca="false">IF($L262&lt;&gt;"Planned","",IF(N($H262)&lt;=0,"Stockout",IF(N($H262)&lt;$S262*0.5,"Critical",IF(N($H262)&lt;=$S262,"Low",IF(N($H262)&gt;$U262,"Over top of green","OK")))))</f>
        <v/>
      </c>
      <c r="AE262" s="8" t="str">
        <f aca="false">IF($A262="","",$A262&amp;"")</f>
        <v/>
      </c>
      <c r="AF262" s="8" t="str">
        <f aca="false">IF($A262="","",SUBSTITUTE(SUBSTITUTE(SUBSTITUTE($A262&amp;"","~","~~"),"*","~*"),"?","~?"))</f>
        <v/>
      </c>
    </row>
    <row r="263" customFormat="false" ht="15" hidden="false" customHeight="false" outlineLevel="0" collapsed="false">
      <c r="A263" s="11"/>
      <c r="B263" s="11"/>
      <c r="C263" s="11"/>
      <c r="D263" s="16"/>
      <c r="E263" s="11"/>
      <c r="F263" s="11"/>
      <c r="G263" s="9"/>
      <c r="H263" s="11"/>
      <c r="I263" s="17"/>
      <c r="J263" s="18" t="str">
        <f aca="false">IF($A263="","",IF(COUNT(Usage!$C:$C)=0,"",MAX(0,SUMIFS(Usage!$C:$C,Usage!$A:$A,$AF263,Usage!$B:$B,"&gt;="&amp;(PlanDate-AduWindow),Usage!$B:$B,"&lt;"&amp;PlanDate))/AduWindow))</f>
        <v/>
      </c>
      <c r="K263" s="18" t="str">
        <f aca="false">IF($A263="","",IF(AND(ISNUMBER($I263),N($I263)&gt;=0),$I263,$J263))</f>
        <v/>
      </c>
      <c r="L263" s="19" t="str">
        <f aca="false">IF($A263="","",IF($K263="","Needs ADU",IF($K263&lt;=0,"No recent demand",IF(N($D263)&lt;=0,"Needs lead time","Planned"))))</f>
        <v/>
      </c>
      <c r="M263" s="8" t="str">
        <f aca="false">IF($A263="","",IF(ISNUMBER(MATCH($C263,Profiles!$A$2:$A$100,0)),$C263,DefaultProfile))</f>
        <v/>
      </c>
      <c r="N263" s="20" t="str">
        <f aca="false">IF($A263="","",INDEX(Profiles!$D$2:$D$100,MATCH($M263,Profiles!$A$2:$A$100,0)))</f>
        <v/>
      </c>
      <c r="O263" s="20" t="str">
        <f aca="false">IF($A263="","",INDEX(Profiles!$E$2:$E$100,MATCH($M263,Profiles!$A$2:$A$100,0)))</f>
        <v/>
      </c>
      <c r="P263" s="21" t="str">
        <f aca="false">IF($L263&lt;&gt;"Planned","",$K263*$D263*$N263*(1+$O263))</f>
        <v/>
      </c>
      <c r="Q263" s="21" t="str">
        <f aca="false">IF($L263&lt;&gt;"Planned","",$K263*$D263)</f>
        <v/>
      </c>
      <c r="R263" s="21" t="str">
        <f aca="false">IF($L263&lt;&gt;"Planned","",MAX(N($E263),$K263*$D263*$N263,$K263*N($G263)))</f>
        <v/>
      </c>
      <c r="S263" s="21" t="str">
        <f aca="false">IF($L263&lt;&gt;"Planned","",$P263)</f>
        <v/>
      </c>
      <c r="T263" s="21" t="str">
        <f aca="false">IF($L263&lt;&gt;"Planned","",$P263+$Q263)</f>
        <v/>
      </c>
      <c r="U263" s="21" t="str">
        <f aca="false">IF($L263&lt;&gt;"Planned","",$T263+$R263)</f>
        <v/>
      </c>
      <c r="V263" s="8" t="str">
        <f aca="false">IF($A263="","",SUMIFS('Open supply'!$C:$C,'Open supply'!$A:$A,$AF263))</f>
        <v/>
      </c>
      <c r="W263" s="8" t="str">
        <f aca="false">IF($A263="","",SUMIFS('Open supply'!$C:$C,'Open supply'!$A:$A,$AF263,'Open supply'!$B:$B,"&lt;"&amp;PlanDate))</f>
        <v/>
      </c>
      <c r="X263" s="8" t="str">
        <f aca="false">IF($A263="","",SUMIFS('Open demand'!$G:$G,'Open demand'!$A:$A,$AF263))</f>
        <v/>
      </c>
      <c r="Y263" s="8" t="str">
        <f aca="false">IF($L263&lt;&gt;"Planned","",N($H263)+$V263-$X263)</f>
        <v/>
      </c>
      <c r="Z263" s="19" t="str">
        <f aca="false">IF($L263&lt;&gt;"Planned","",IF($Y263&lt;=$S263,"Red",IF($Y263&lt;=$T263,"Yellow",IF($Y263&lt;=$U263,"Green","Above green"))))</f>
        <v/>
      </c>
      <c r="AA263" s="22" t="str">
        <f aca="false">IF(OR($L263&lt;&gt;"Planned",N($U263)&lt;=0),"",$Y263/$U263)</f>
        <v/>
      </c>
      <c r="AB263" s="8" t="str">
        <f aca="false">IF($L263&lt;&gt;"Planned","",IF($Y263&lt;=$T263,ROUNDUP(MAX($U263-$Y263,N($E263))/IF(N($F263)&gt;0,$F263,1)-0.000000001,0)*IF(N($F263)&gt;0,$F263,1),""))</f>
        <v/>
      </c>
      <c r="AC263" s="23" t="str">
        <f aca="false">IF(N($AB263)&gt;0,PlanDate+ROUNDUP($D263,0),"")</f>
        <v/>
      </c>
      <c r="AD263" s="19" t="str">
        <f aca="false">IF($L263&lt;&gt;"Planned","",IF(N($H263)&lt;=0,"Stockout",IF(N($H263)&lt;$S263*0.5,"Critical",IF(N($H263)&lt;=$S263,"Low",IF(N($H263)&gt;$U263,"Over top of green","OK")))))</f>
        <v/>
      </c>
      <c r="AE263" s="8" t="str">
        <f aca="false">IF($A263="","",$A263&amp;"")</f>
        <v/>
      </c>
      <c r="AF263" s="8" t="str">
        <f aca="false">IF($A263="","",SUBSTITUTE(SUBSTITUTE(SUBSTITUTE($A263&amp;"","~","~~"),"*","~*"),"?","~?"))</f>
        <v/>
      </c>
    </row>
    <row r="264" customFormat="false" ht="15" hidden="false" customHeight="false" outlineLevel="0" collapsed="false">
      <c r="A264" s="11"/>
      <c r="B264" s="11"/>
      <c r="C264" s="11"/>
      <c r="D264" s="16"/>
      <c r="E264" s="11"/>
      <c r="F264" s="11"/>
      <c r="G264" s="9"/>
      <c r="H264" s="11"/>
      <c r="I264" s="17"/>
      <c r="J264" s="18" t="str">
        <f aca="false">IF($A264="","",IF(COUNT(Usage!$C:$C)=0,"",MAX(0,SUMIFS(Usage!$C:$C,Usage!$A:$A,$AF264,Usage!$B:$B,"&gt;="&amp;(PlanDate-AduWindow),Usage!$B:$B,"&lt;"&amp;PlanDate))/AduWindow))</f>
        <v/>
      </c>
      <c r="K264" s="18" t="str">
        <f aca="false">IF($A264="","",IF(AND(ISNUMBER($I264),N($I264)&gt;=0),$I264,$J264))</f>
        <v/>
      </c>
      <c r="L264" s="19" t="str">
        <f aca="false">IF($A264="","",IF($K264="","Needs ADU",IF($K264&lt;=0,"No recent demand",IF(N($D264)&lt;=0,"Needs lead time","Planned"))))</f>
        <v/>
      </c>
      <c r="M264" s="8" t="str">
        <f aca="false">IF($A264="","",IF(ISNUMBER(MATCH($C264,Profiles!$A$2:$A$100,0)),$C264,DefaultProfile))</f>
        <v/>
      </c>
      <c r="N264" s="20" t="str">
        <f aca="false">IF($A264="","",INDEX(Profiles!$D$2:$D$100,MATCH($M264,Profiles!$A$2:$A$100,0)))</f>
        <v/>
      </c>
      <c r="O264" s="20" t="str">
        <f aca="false">IF($A264="","",INDEX(Profiles!$E$2:$E$100,MATCH($M264,Profiles!$A$2:$A$100,0)))</f>
        <v/>
      </c>
      <c r="P264" s="21" t="str">
        <f aca="false">IF($L264&lt;&gt;"Planned","",$K264*$D264*$N264*(1+$O264))</f>
        <v/>
      </c>
      <c r="Q264" s="21" t="str">
        <f aca="false">IF($L264&lt;&gt;"Planned","",$K264*$D264)</f>
        <v/>
      </c>
      <c r="R264" s="21" t="str">
        <f aca="false">IF($L264&lt;&gt;"Planned","",MAX(N($E264),$K264*$D264*$N264,$K264*N($G264)))</f>
        <v/>
      </c>
      <c r="S264" s="21" t="str">
        <f aca="false">IF($L264&lt;&gt;"Planned","",$P264)</f>
        <v/>
      </c>
      <c r="T264" s="21" t="str">
        <f aca="false">IF($L264&lt;&gt;"Planned","",$P264+$Q264)</f>
        <v/>
      </c>
      <c r="U264" s="21" t="str">
        <f aca="false">IF($L264&lt;&gt;"Planned","",$T264+$R264)</f>
        <v/>
      </c>
      <c r="V264" s="8" t="str">
        <f aca="false">IF($A264="","",SUMIFS('Open supply'!$C:$C,'Open supply'!$A:$A,$AF264))</f>
        <v/>
      </c>
      <c r="W264" s="8" t="str">
        <f aca="false">IF($A264="","",SUMIFS('Open supply'!$C:$C,'Open supply'!$A:$A,$AF264,'Open supply'!$B:$B,"&lt;"&amp;PlanDate))</f>
        <v/>
      </c>
      <c r="X264" s="8" t="str">
        <f aca="false">IF($A264="","",SUMIFS('Open demand'!$G:$G,'Open demand'!$A:$A,$AF264))</f>
        <v/>
      </c>
      <c r="Y264" s="8" t="str">
        <f aca="false">IF($L264&lt;&gt;"Planned","",N($H264)+$V264-$X264)</f>
        <v/>
      </c>
      <c r="Z264" s="19" t="str">
        <f aca="false">IF($L264&lt;&gt;"Planned","",IF($Y264&lt;=$S264,"Red",IF($Y264&lt;=$T264,"Yellow",IF($Y264&lt;=$U264,"Green","Above green"))))</f>
        <v/>
      </c>
      <c r="AA264" s="22" t="str">
        <f aca="false">IF(OR($L264&lt;&gt;"Planned",N($U264)&lt;=0),"",$Y264/$U264)</f>
        <v/>
      </c>
      <c r="AB264" s="8" t="str">
        <f aca="false">IF($L264&lt;&gt;"Planned","",IF($Y264&lt;=$T264,ROUNDUP(MAX($U264-$Y264,N($E264))/IF(N($F264)&gt;0,$F264,1)-0.000000001,0)*IF(N($F264)&gt;0,$F264,1),""))</f>
        <v/>
      </c>
      <c r="AC264" s="23" t="str">
        <f aca="false">IF(N($AB264)&gt;0,PlanDate+ROUNDUP($D264,0),"")</f>
        <v/>
      </c>
      <c r="AD264" s="19" t="str">
        <f aca="false">IF($L264&lt;&gt;"Planned","",IF(N($H264)&lt;=0,"Stockout",IF(N($H264)&lt;$S264*0.5,"Critical",IF(N($H264)&lt;=$S264,"Low",IF(N($H264)&gt;$U264,"Over top of green","OK")))))</f>
        <v/>
      </c>
      <c r="AE264" s="8" t="str">
        <f aca="false">IF($A264="","",$A264&amp;"")</f>
        <v/>
      </c>
      <c r="AF264" s="8" t="str">
        <f aca="false">IF($A264="","",SUBSTITUTE(SUBSTITUTE(SUBSTITUTE($A264&amp;"","~","~~"),"*","~*"),"?","~?"))</f>
        <v/>
      </c>
    </row>
    <row r="265" customFormat="false" ht="15" hidden="false" customHeight="false" outlineLevel="0" collapsed="false">
      <c r="A265" s="11"/>
      <c r="B265" s="11"/>
      <c r="C265" s="11"/>
      <c r="D265" s="16"/>
      <c r="E265" s="11"/>
      <c r="F265" s="11"/>
      <c r="G265" s="9"/>
      <c r="H265" s="11"/>
      <c r="I265" s="17"/>
      <c r="J265" s="18" t="str">
        <f aca="false">IF($A265="","",IF(COUNT(Usage!$C:$C)=0,"",MAX(0,SUMIFS(Usage!$C:$C,Usage!$A:$A,$AF265,Usage!$B:$B,"&gt;="&amp;(PlanDate-AduWindow),Usage!$B:$B,"&lt;"&amp;PlanDate))/AduWindow))</f>
        <v/>
      </c>
      <c r="K265" s="18" t="str">
        <f aca="false">IF($A265="","",IF(AND(ISNUMBER($I265),N($I265)&gt;=0),$I265,$J265))</f>
        <v/>
      </c>
      <c r="L265" s="19" t="str">
        <f aca="false">IF($A265="","",IF($K265="","Needs ADU",IF($K265&lt;=0,"No recent demand",IF(N($D265)&lt;=0,"Needs lead time","Planned"))))</f>
        <v/>
      </c>
      <c r="M265" s="8" t="str">
        <f aca="false">IF($A265="","",IF(ISNUMBER(MATCH($C265,Profiles!$A$2:$A$100,0)),$C265,DefaultProfile))</f>
        <v/>
      </c>
      <c r="N265" s="20" t="str">
        <f aca="false">IF($A265="","",INDEX(Profiles!$D$2:$D$100,MATCH($M265,Profiles!$A$2:$A$100,0)))</f>
        <v/>
      </c>
      <c r="O265" s="20" t="str">
        <f aca="false">IF($A265="","",INDEX(Profiles!$E$2:$E$100,MATCH($M265,Profiles!$A$2:$A$100,0)))</f>
        <v/>
      </c>
      <c r="P265" s="21" t="str">
        <f aca="false">IF($L265&lt;&gt;"Planned","",$K265*$D265*$N265*(1+$O265))</f>
        <v/>
      </c>
      <c r="Q265" s="21" t="str">
        <f aca="false">IF($L265&lt;&gt;"Planned","",$K265*$D265)</f>
        <v/>
      </c>
      <c r="R265" s="21" t="str">
        <f aca="false">IF($L265&lt;&gt;"Planned","",MAX(N($E265),$K265*$D265*$N265,$K265*N($G265)))</f>
        <v/>
      </c>
      <c r="S265" s="21" t="str">
        <f aca="false">IF($L265&lt;&gt;"Planned","",$P265)</f>
        <v/>
      </c>
      <c r="T265" s="21" t="str">
        <f aca="false">IF($L265&lt;&gt;"Planned","",$P265+$Q265)</f>
        <v/>
      </c>
      <c r="U265" s="21" t="str">
        <f aca="false">IF($L265&lt;&gt;"Planned","",$T265+$R265)</f>
        <v/>
      </c>
      <c r="V265" s="8" t="str">
        <f aca="false">IF($A265="","",SUMIFS('Open supply'!$C:$C,'Open supply'!$A:$A,$AF265))</f>
        <v/>
      </c>
      <c r="W265" s="8" t="str">
        <f aca="false">IF($A265="","",SUMIFS('Open supply'!$C:$C,'Open supply'!$A:$A,$AF265,'Open supply'!$B:$B,"&lt;"&amp;PlanDate))</f>
        <v/>
      </c>
      <c r="X265" s="8" t="str">
        <f aca="false">IF($A265="","",SUMIFS('Open demand'!$G:$G,'Open demand'!$A:$A,$AF265))</f>
        <v/>
      </c>
      <c r="Y265" s="8" t="str">
        <f aca="false">IF($L265&lt;&gt;"Planned","",N($H265)+$V265-$X265)</f>
        <v/>
      </c>
      <c r="Z265" s="19" t="str">
        <f aca="false">IF($L265&lt;&gt;"Planned","",IF($Y265&lt;=$S265,"Red",IF($Y265&lt;=$T265,"Yellow",IF($Y265&lt;=$U265,"Green","Above green"))))</f>
        <v/>
      </c>
      <c r="AA265" s="22" t="str">
        <f aca="false">IF(OR($L265&lt;&gt;"Planned",N($U265)&lt;=0),"",$Y265/$U265)</f>
        <v/>
      </c>
      <c r="AB265" s="8" t="str">
        <f aca="false">IF($L265&lt;&gt;"Planned","",IF($Y265&lt;=$T265,ROUNDUP(MAX($U265-$Y265,N($E265))/IF(N($F265)&gt;0,$F265,1)-0.000000001,0)*IF(N($F265)&gt;0,$F265,1),""))</f>
        <v/>
      </c>
      <c r="AC265" s="23" t="str">
        <f aca="false">IF(N($AB265)&gt;0,PlanDate+ROUNDUP($D265,0),"")</f>
        <v/>
      </c>
      <c r="AD265" s="19" t="str">
        <f aca="false">IF($L265&lt;&gt;"Planned","",IF(N($H265)&lt;=0,"Stockout",IF(N($H265)&lt;$S265*0.5,"Critical",IF(N($H265)&lt;=$S265,"Low",IF(N($H265)&gt;$U265,"Over top of green","OK")))))</f>
        <v/>
      </c>
      <c r="AE265" s="8" t="str">
        <f aca="false">IF($A265="","",$A265&amp;"")</f>
        <v/>
      </c>
      <c r="AF265" s="8" t="str">
        <f aca="false">IF($A265="","",SUBSTITUTE(SUBSTITUTE(SUBSTITUTE($A265&amp;"","~","~~"),"*","~*"),"?","~?"))</f>
        <v/>
      </c>
    </row>
    <row r="266" customFormat="false" ht="15" hidden="false" customHeight="false" outlineLevel="0" collapsed="false">
      <c r="A266" s="11"/>
      <c r="B266" s="11"/>
      <c r="C266" s="11"/>
      <c r="D266" s="16"/>
      <c r="E266" s="11"/>
      <c r="F266" s="11"/>
      <c r="G266" s="9"/>
      <c r="H266" s="11"/>
      <c r="I266" s="17"/>
      <c r="J266" s="18" t="str">
        <f aca="false">IF($A266="","",IF(COUNT(Usage!$C:$C)=0,"",MAX(0,SUMIFS(Usage!$C:$C,Usage!$A:$A,$AF266,Usage!$B:$B,"&gt;="&amp;(PlanDate-AduWindow),Usage!$B:$B,"&lt;"&amp;PlanDate))/AduWindow))</f>
        <v/>
      </c>
      <c r="K266" s="18" t="str">
        <f aca="false">IF($A266="","",IF(AND(ISNUMBER($I266),N($I266)&gt;=0),$I266,$J266))</f>
        <v/>
      </c>
      <c r="L266" s="19" t="str">
        <f aca="false">IF($A266="","",IF($K266="","Needs ADU",IF($K266&lt;=0,"No recent demand",IF(N($D266)&lt;=0,"Needs lead time","Planned"))))</f>
        <v/>
      </c>
      <c r="M266" s="8" t="str">
        <f aca="false">IF($A266="","",IF(ISNUMBER(MATCH($C266,Profiles!$A$2:$A$100,0)),$C266,DefaultProfile))</f>
        <v/>
      </c>
      <c r="N266" s="20" t="str">
        <f aca="false">IF($A266="","",INDEX(Profiles!$D$2:$D$100,MATCH($M266,Profiles!$A$2:$A$100,0)))</f>
        <v/>
      </c>
      <c r="O266" s="20" t="str">
        <f aca="false">IF($A266="","",INDEX(Profiles!$E$2:$E$100,MATCH($M266,Profiles!$A$2:$A$100,0)))</f>
        <v/>
      </c>
      <c r="P266" s="21" t="str">
        <f aca="false">IF($L266&lt;&gt;"Planned","",$K266*$D266*$N266*(1+$O266))</f>
        <v/>
      </c>
      <c r="Q266" s="21" t="str">
        <f aca="false">IF($L266&lt;&gt;"Planned","",$K266*$D266)</f>
        <v/>
      </c>
      <c r="R266" s="21" t="str">
        <f aca="false">IF($L266&lt;&gt;"Planned","",MAX(N($E266),$K266*$D266*$N266,$K266*N($G266)))</f>
        <v/>
      </c>
      <c r="S266" s="21" t="str">
        <f aca="false">IF($L266&lt;&gt;"Planned","",$P266)</f>
        <v/>
      </c>
      <c r="T266" s="21" t="str">
        <f aca="false">IF($L266&lt;&gt;"Planned","",$P266+$Q266)</f>
        <v/>
      </c>
      <c r="U266" s="21" t="str">
        <f aca="false">IF($L266&lt;&gt;"Planned","",$T266+$R266)</f>
        <v/>
      </c>
      <c r="V266" s="8" t="str">
        <f aca="false">IF($A266="","",SUMIFS('Open supply'!$C:$C,'Open supply'!$A:$A,$AF266))</f>
        <v/>
      </c>
      <c r="W266" s="8" t="str">
        <f aca="false">IF($A266="","",SUMIFS('Open supply'!$C:$C,'Open supply'!$A:$A,$AF266,'Open supply'!$B:$B,"&lt;"&amp;PlanDate))</f>
        <v/>
      </c>
      <c r="X266" s="8" t="str">
        <f aca="false">IF($A266="","",SUMIFS('Open demand'!$G:$G,'Open demand'!$A:$A,$AF266))</f>
        <v/>
      </c>
      <c r="Y266" s="8" t="str">
        <f aca="false">IF($L266&lt;&gt;"Planned","",N($H266)+$V266-$X266)</f>
        <v/>
      </c>
      <c r="Z266" s="19" t="str">
        <f aca="false">IF($L266&lt;&gt;"Planned","",IF($Y266&lt;=$S266,"Red",IF($Y266&lt;=$T266,"Yellow",IF($Y266&lt;=$U266,"Green","Above green"))))</f>
        <v/>
      </c>
      <c r="AA266" s="22" t="str">
        <f aca="false">IF(OR($L266&lt;&gt;"Planned",N($U266)&lt;=0),"",$Y266/$U266)</f>
        <v/>
      </c>
      <c r="AB266" s="8" t="str">
        <f aca="false">IF($L266&lt;&gt;"Planned","",IF($Y266&lt;=$T266,ROUNDUP(MAX($U266-$Y266,N($E266))/IF(N($F266)&gt;0,$F266,1)-0.000000001,0)*IF(N($F266)&gt;0,$F266,1),""))</f>
        <v/>
      </c>
      <c r="AC266" s="23" t="str">
        <f aca="false">IF(N($AB266)&gt;0,PlanDate+ROUNDUP($D266,0),"")</f>
        <v/>
      </c>
      <c r="AD266" s="19" t="str">
        <f aca="false">IF($L266&lt;&gt;"Planned","",IF(N($H266)&lt;=0,"Stockout",IF(N($H266)&lt;$S266*0.5,"Critical",IF(N($H266)&lt;=$S266,"Low",IF(N($H266)&gt;$U266,"Over top of green","OK")))))</f>
        <v/>
      </c>
      <c r="AE266" s="8" t="str">
        <f aca="false">IF($A266="","",$A266&amp;"")</f>
        <v/>
      </c>
      <c r="AF266" s="8" t="str">
        <f aca="false">IF($A266="","",SUBSTITUTE(SUBSTITUTE(SUBSTITUTE($A266&amp;"","~","~~"),"*","~*"),"?","~?"))</f>
        <v/>
      </c>
    </row>
    <row r="267" customFormat="false" ht="15" hidden="false" customHeight="false" outlineLevel="0" collapsed="false">
      <c r="A267" s="11"/>
      <c r="B267" s="11"/>
      <c r="C267" s="11"/>
      <c r="D267" s="16"/>
      <c r="E267" s="11"/>
      <c r="F267" s="11"/>
      <c r="G267" s="9"/>
      <c r="H267" s="11"/>
      <c r="I267" s="17"/>
      <c r="J267" s="18" t="str">
        <f aca="false">IF($A267="","",IF(COUNT(Usage!$C:$C)=0,"",MAX(0,SUMIFS(Usage!$C:$C,Usage!$A:$A,$AF267,Usage!$B:$B,"&gt;="&amp;(PlanDate-AduWindow),Usage!$B:$B,"&lt;"&amp;PlanDate))/AduWindow))</f>
        <v/>
      </c>
      <c r="K267" s="18" t="str">
        <f aca="false">IF($A267="","",IF(AND(ISNUMBER($I267),N($I267)&gt;=0),$I267,$J267))</f>
        <v/>
      </c>
      <c r="L267" s="19" t="str">
        <f aca="false">IF($A267="","",IF($K267="","Needs ADU",IF($K267&lt;=0,"No recent demand",IF(N($D267)&lt;=0,"Needs lead time","Planned"))))</f>
        <v/>
      </c>
      <c r="M267" s="8" t="str">
        <f aca="false">IF($A267="","",IF(ISNUMBER(MATCH($C267,Profiles!$A$2:$A$100,0)),$C267,DefaultProfile))</f>
        <v/>
      </c>
      <c r="N267" s="20" t="str">
        <f aca="false">IF($A267="","",INDEX(Profiles!$D$2:$D$100,MATCH($M267,Profiles!$A$2:$A$100,0)))</f>
        <v/>
      </c>
      <c r="O267" s="20" t="str">
        <f aca="false">IF($A267="","",INDEX(Profiles!$E$2:$E$100,MATCH($M267,Profiles!$A$2:$A$100,0)))</f>
        <v/>
      </c>
      <c r="P267" s="21" t="str">
        <f aca="false">IF($L267&lt;&gt;"Planned","",$K267*$D267*$N267*(1+$O267))</f>
        <v/>
      </c>
      <c r="Q267" s="21" t="str">
        <f aca="false">IF($L267&lt;&gt;"Planned","",$K267*$D267)</f>
        <v/>
      </c>
      <c r="R267" s="21" t="str">
        <f aca="false">IF($L267&lt;&gt;"Planned","",MAX(N($E267),$K267*$D267*$N267,$K267*N($G267)))</f>
        <v/>
      </c>
      <c r="S267" s="21" t="str">
        <f aca="false">IF($L267&lt;&gt;"Planned","",$P267)</f>
        <v/>
      </c>
      <c r="T267" s="21" t="str">
        <f aca="false">IF($L267&lt;&gt;"Planned","",$P267+$Q267)</f>
        <v/>
      </c>
      <c r="U267" s="21" t="str">
        <f aca="false">IF($L267&lt;&gt;"Planned","",$T267+$R267)</f>
        <v/>
      </c>
      <c r="V267" s="8" t="str">
        <f aca="false">IF($A267="","",SUMIFS('Open supply'!$C:$C,'Open supply'!$A:$A,$AF267))</f>
        <v/>
      </c>
      <c r="W267" s="8" t="str">
        <f aca="false">IF($A267="","",SUMIFS('Open supply'!$C:$C,'Open supply'!$A:$A,$AF267,'Open supply'!$B:$B,"&lt;"&amp;PlanDate))</f>
        <v/>
      </c>
      <c r="X267" s="8" t="str">
        <f aca="false">IF($A267="","",SUMIFS('Open demand'!$G:$G,'Open demand'!$A:$A,$AF267))</f>
        <v/>
      </c>
      <c r="Y267" s="8" t="str">
        <f aca="false">IF($L267&lt;&gt;"Planned","",N($H267)+$V267-$X267)</f>
        <v/>
      </c>
      <c r="Z267" s="19" t="str">
        <f aca="false">IF($L267&lt;&gt;"Planned","",IF($Y267&lt;=$S267,"Red",IF($Y267&lt;=$T267,"Yellow",IF($Y267&lt;=$U267,"Green","Above green"))))</f>
        <v/>
      </c>
      <c r="AA267" s="22" t="str">
        <f aca="false">IF(OR($L267&lt;&gt;"Planned",N($U267)&lt;=0),"",$Y267/$U267)</f>
        <v/>
      </c>
      <c r="AB267" s="8" t="str">
        <f aca="false">IF($L267&lt;&gt;"Planned","",IF($Y267&lt;=$T267,ROUNDUP(MAX($U267-$Y267,N($E267))/IF(N($F267)&gt;0,$F267,1)-0.000000001,0)*IF(N($F267)&gt;0,$F267,1),""))</f>
        <v/>
      </c>
      <c r="AC267" s="23" t="str">
        <f aca="false">IF(N($AB267)&gt;0,PlanDate+ROUNDUP($D267,0),"")</f>
        <v/>
      </c>
      <c r="AD267" s="19" t="str">
        <f aca="false">IF($L267&lt;&gt;"Planned","",IF(N($H267)&lt;=0,"Stockout",IF(N($H267)&lt;$S267*0.5,"Critical",IF(N($H267)&lt;=$S267,"Low",IF(N($H267)&gt;$U267,"Over top of green","OK")))))</f>
        <v/>
      </c>
      <c r="AE267" s="8" t="str">
        <f aca="false">IF($A267="","",$A267&amp;"")</f>
        <v/>
      </c>
      <c r="AF267" s="8" t="str">
        <f aca="false">IF($A267="","",SUBSTITUTE(SUBSTITUTE(SUBSTITUTE($A267&amp;"","~","~~"),"*","~*"),"?","~?"))</f>
        <v/>
      </c>
    </row>
    <row r="268" customFormat="false" ht="15" hidden="false" customHeight="false" outlineLevel="0" collapsed="false">
      <c r="A268" s="11"/>
      <c r="B268" s="11"/>
      <c r="C268" s="11"/>
      <c r="D268" s="16"/>
      <c r="E268" s="11"/>
      <c r="F268" s="11"/>
      <c r="G268" s="9"/>
      <c r="H268" s="11"/>
      <c r="I268" s="17"/>
      <c r="J268" s="18" t="str">
        <f aca="false">IF($A268="","",IF(COUNT(Usage!$C:$C)=0,"",MAX(0,SUMIFS(Usage!$C:$C,Usage!$A:$A,$AF268,Usage!$B:$B,"&gt;="&amp;(PlanDate-AduWindow),Usage!$B:$B,"&lt;"&amp;PlanDate))/AduWindow))</f>
        <v/>
      </c>
      <c r="K268" s="18" t="str">
        <f aca="false">IF($A268="","",IF(AND(ISNUMBER($I268),N($I268)&gt;=0),$I268,$J268))</f>
        <v/>
      </c>
      <c r="L268" s="19" t="str">
        <f aca="false">IF($A268="","",IF($K268="","Needs ADU",IF($K268&lt;=0,"No recent demand",IF(N($D268)&lt;=0,"Needs lead time","Planned"))))</f>
        <v/>
      </c>
      <c r="M268" s="8" t="str">
        <f aca="false">IF($A268="","",IF(ISNUMBER(MATCH($C268,Profiles!$A$2:$A$100,0)),$C268,DefaultProfile))</f>
        <v/>
      </c>
      <c r="N268" s="20" t="str">
        <f aca="false">IF($A268="","",INDEX(Profiles!$D$2:$D$100,MATCH($M268,Profiles!$A$2:$A$100,0)))</f>
        <v/>
      </c>
      <c r="O268" s="20" t="str">
        <f aca="false">IF($A268="","",INDEX(Profiles!$E$2:$E$100,MATCH($M268,Profiles!$A$2:$A$100,0)))</f>
        <v/>
      </c>
      <c r="P268" s="21" t="str">
        <f aca="false">IF($L268&lt;&gt;"Planned","",$K268*$D268*$N268*(1+$O268))</f>
        <v/>
      </c>
      <c r="Q268" s="21" t="str">
        <f aca="false">IF($L268&lt;&gt;"Planned","",$K268*$D268)</f>
        <v/>
      </c>
      <c r="R268" s="21" t="str">
        <f aca="false">IF($L268&lt;&gt;"Planned","",MAX(N($E268),$K268*$D268*$N268,$K268*N($G268)))</f>
        <v/>
      </c>
      <c r="S268" s="21" t="str">
        <f aca="false">IF($L268&lt;&gt;"Planned","",$P268)</f>
        <v/>
      </c>
      <c r="T268" s="21" t="str">
        <f aca="false">IF($L268&lt;&gt;"Planned","",$P268+$Q268)</f>
        <v/>
      </c>
      <c r="U268" s="21" t="str">
        <f aca="false">IF($L268&lt;&gt;"Planned","",$T268+$R268)</f>
        <v/>
      </c>
      <c r="V268" s="8" t="str">
        <f aca="false">IF($A268="","",SUMIFS('Open supply'!$C:$C,'Open supply'!$A:$A,$AF268))</f>
        <v/>
      </c>
      <c r="W268" s="8" t="str">
        <f aca="false">IF($A268="","",SUMIFS('Open supply'!$C:$C,'Open supply'!$A:$A,$AF268,'Open supply'!$B:$B,"&lt;"&amp;PlanDate))</f>
        <v/>
      </c>
      <c r="X268" s="8" t="str">
        <f aca="false">IF($A268="","",SUMIFS('Open demand'!$G:$G,'Open demand'!$A:$A,$AF268))</f>
        <v/>
      </c>
      <c r="Y268" s="8" t="str">
        <f aca="false">IF($L268&lt;&gt;"Planned","",N($H268)+$V268-$X268)</f>
        <v/>
      </c>
      <c r="Z268" s="19" t="str">
        <f aca="false">IF($L268&lt;&gt;"Planned","",IF($Y268&lt;=$S268,"Red",IF($Y268&lt;=$T268,"Yellow",IF($Y268&lt;=$U268,"Green","Above green"))))</f>
        <v/>
      </c>
      <c r="AA268" s="22" t="str">
        <f aca="false">IF(OR($L268&lt;&gt;"Planned",N($U268)&lt;=0),"",$Y268/$U268)</f>
        <v/>
      </c>
      <c r="AB268" s="8" t="str">
        <f aca="false">IF($L268&lt;&gt;"Planned","",IF($Y268&lt;=$T268,ROUNDUP(MAX($U268-$Y268,N($E268))/IF(N($F268)&gt;0,$F268,1)-0.000000001,0)*IF(N($F268)&gt;0,$F268,1),""))</f>
        <v/>
      </c>
      <c r="AC268" s="23" t="str">
        <f aca="false">IF(N($AB268)&gt;0,PlanDate+ROUNDUP($D268,0),"")</f>
        <v/>
      </c>
      <c r="AD268" s="19" t="str">
        <f aca="false">IF($L268&lt;&gt;"Planned","",IF(N($H268)&lt;=0,"Stockout",IF(N($H268)&lt;$S268*0.5,"Critical",IF(N($H268)&lt;=$S268,"Low",IF(N($H268)&gt;$U268,"Over top of green","OK")))))</f>
        <v/>
      </c>
      <c r="AE268" s="8" t="str">
        <f aca="false">IF($A268="","",$A268&amp;"")</f>
        <v/>
      </c>
      <c r="AF268" s="8" t="str">
        <f aca="false">IF($A268="","",SUBSTITUTE(SUBSTITUTE(SUBSTITUTE($A268&amp;"","~","~~"),"*","~*"),"?","~?"))</f>
        <v/>
      </c>
    </row>
    <row r="269" customFormat="false" ht="15" hidden="false" customHeight="false" outlineLevel="0" collapsed="false">
      <c r="A269" s="11"/>
      <c r="B269" s="11"/>
      <c r="C269" s="11"/>
      <c r="D269" s="16"/>
      <c r="E269" s="11"/>
      <c r="F269" s="11"/>
      <c r="G269" s="9"/>
      <c r="H269" s="11"/>
      <c r="I269" s="17"/>
      <c r="J269" s="18" t="str">
        <f aca="false">IF($A269="","",IF(COUNT(Usage!$C:$C)=0,"",MAX(0,SUMIFS(Usage!$C:$C,Usage!$A:$A,$AF269,Usage!$B:$B,"&gt;="&amp;(PlanDate-AduWindow),Usage!$B:$B,"&lt;"&amp;PlanDate))/AduWindow))</f>
        <v/>
      </c>
      <c r="K269" s="18" t="str">
        <f aca="false">IF($A269="","",IF(AND(ISNUMBER($I269),N($I269)&gt;=0),$I269,$J269))</f>
        <v/>
      </c>
      <c r="L269" s="19" t="str">
        <f aca="false">IF($A269="","",IF($K269="","Needs ADU",IF($K269&lt;=0,"No recent demand",IF(N($D269)&lt;=0,"Needs lead time","Planned"))))</f>
        <v/>
      </c>
      <c r="M269" s="8" t="str">
        <f aca="false">IF($A269="","",IF(ISNUMBER(MATCH($C269,Profiles!$A$2:$A$100,0)),$C269,DefaultProfile))</f>
        <v/>
      </c>
      <c r="N269" s="20" t="str">
        <f aca="false">IF($A269="","",INDEX(Profiles!$D$2:$D$100,MATCH($M269,Profiles!$A$2:$A$100,0)))</f>
        <v/>
      </c>
      <c r="O269" s="20" t="str">
        <f aca="false">IF($A269="","",INDEX(Profiles!$E$2:$E$100,MATCH($M269,Profiles!$A$2:$A$100,0)))</f>
        <v/>
      </c>
      <c r="P269" s="21" t="str">
        <f aca="false">IF($L269&lt;&gt;"Planned","",$K269*$D269*$N269*(1+$O269))</f>
        <v/>
      </c>
      <c r="Q269" s="21" t="str">
        <f aca="false">IF($L269&lt;&gt;"Planned","",$K269*$D269)</f>
        <v/>
      </c>
      <c r="R269" s="21" t="str">
        <f aca="false">IF($L269&lt;&gt;"Planned","",MAX(N($E269),$K269*$D269*$N269,$K269*N($G269)))</f>
        <v/>
      </c>
      <c r="S269" s="21" t="str">
        <f aca="false">IF($L269&lt;&gt;"Planned","",$P269)</f>
        <v/>
      </c>
      <c r="T269" s="21" t="str">
        <f aca="false">IF($L269&lt;&gt;"Planned","",$P269+$Q269)</f>
        <v/>
      </c>
      <c r="U269" s="21" t="str">
        <f aca="false">IF($L269&lt;&gt;"Planned","",$T269+$R269)</f>
        <v/>
      </c>
      <c r="V269" s="8" t="str">
        <f aca="false">IF($A269="","",SUMIFS('Open supply'!$C:$C,'Open supply'!$A:$A,$AF269))</f>
        <v/>
      </c>
      <c r="W269" s="8" t="str">
        <f aca="false">IF($A269="","",SUMIFS('Open supply'!$C:$C,'Open supply'!$A:$A,$AF269,'Open supply'!$B:$B,"&lt;"&amp;PlanDate))</f>
        <v/>
      </c>
      <c r="X269" s="8" t="str">
        <f aca="false">IF($A269="","",SUMIFS('Open demand'!$G:$G,'Open demand'!$A:$A,$AF269))</f>
        <v/>
      </c>
      <c r="Y269" s="8" t="str">
        <f aca="false">IF($L269&lt;&gt;"Planned","",N($H269)+$V269-$X269)</f>
        <v/>
      </c>
      <c r="Z269" s="19" t="str">
        <f aca="false">IF($L269&lt;&gt;"Planned","",IF($Y269&lt;=$S269,"Red",IF($Y269&lt;=$T269,"Yellow",IF($Y269&lt;=$U269,"Green","Above green"))))</f>
        <v/>
      </c>
      <c r="AA269" s="22" t="str">
        <f aca="false">IF(OR($L269&lt;&gt;"Planned",N($U269)&lt;=0),"",$Y269/$U269)</f>
        <v/>
      </c>
      <c r="AB269" s="8" t="str">
        <f aca="false">IF($L269&lt;&gt;"Planned","",IF($Y269&lt;=$T269,ROUNDUP(MAX($U269-$Y269,N($E269))/IF(N($F269)&gt;0,$F269,1)-0.000000001,0)*IF(N($F269)&gt;0,$F269,1),""))</f>
        <v/>
      </c>
      <c r="AC269" s="23" t="str">
        <f aca="false">IF(N($AB269)&gt;0,PlanDate+ROUNDUP($D269,0),"")</f>
        <v/>
      </c>
      <c r="AD269" s="19" t="str">
        <f aca="false">IF($L269&lt;&gt;"Planned","",IF(N($H269)&lt;=0,"Stockout",IF(N($H269)&lt;$S269*0.5,"Critical",IF(N($H269)&lt;=$S269,"Low",IF(N($H269)&gt;$U269,"Over top of green","OK")))))</f>
        <v/>
      </c>
      <c r="AE269" s="8" t="str">
        <f aca="false">IF($A269="","",$A269&amp;"")</f>
        <v/>
      </c>
      <c r="AF269" s="8" t="str">
        <f aca="false">IF($A269="","",SUBSTITUTE(SUBSTITUTE(SUBSTITUTE($A269&amp;"","~","~~"),"*","~*"),"?","~?"))</f>
        <v/>
      </c>
    </row>
    <row r="270" customFormat="false" ht="15" hidden="false" customHeight="false" outlineLevel="0" collapsed="false">
      <c r="A270" s="11"/>
      <c r="B270" s="11"/>
      <c r="C270" s="11"/>
      <c r="D270" s="16"/>
      <c r="E270" s="11"/>
      <c r="F270" s="11"/>
      <c r="G270" s="9"/>
      <c r="H270" s="11"/>
      <c r="I270" s="17"/>
      <c r="J270" s="18" t="str">
        <f aca="false">IF($A270="","",IF(COUNT(Usage!$C:$C)=0,"",MAX(0,SUMIFS(Usage!$C:$C,Usage!$A:$A,$AF270,Usage!$B:$B,"&gt;="&amp;(PlanDate-AduWindow),Usage!$B:$B,"&lt;"&amp;PlanDate))/AduWindow))</f>
        <v/>
      </c>
      <c r="K270" s="18" t="str">
        <f aca="false">IF($A270="","",IF(AND(ISNUMBER($I270),N($I270)&gt;=0),$I270,$J270))</f>
        <v/>
      </c>
      <c r="L270" s="19" t="str">
        <f aca="false">IF($A270="","",IF($K270="","Needs ADU",IF($K270&lt;=0,"No recent demand",IF(N($D270)&lt;=0,"Needs lead time","Planned"))))</f>
        <v/>
      </c>
      <c r="M270" s="8" t="str">
        <f aca="false">IF($A270="","",IF(ISNUMBER(MATCH($C270,Profiles!$A$2:$A$100,0)),$C270,DefaultProfile))</f>
        <v/>
      </c>
      <c r="N270" s="20" t="str">
        <f aca="false">IF($A270="","",INDEX(Profiles!$D$2:$D$100,MATCH($M270,Profiles!$A$2:$A$100,0)))</f>
        <v/>
      </c>
      <c r="O270" s="20" t="str">
        <f aca="false">IF($A270="","",INDEX(Profiles!$E$2:$E$100,MATCH($M270,Profiles!$A$2:$A$100,0)))</f>
        <v/>
      </c>
      <c r="P270" s="21" t="str">
        <f aca="false">IF($L270&lt;&gt;"Planned","",$K270*$D270*$N270*(1+$O270))</f>
        <v/>
      </c>
      <c r="Q270" s="21" t="str">
        <f aca="false">IF($L270&lt;&gt;"Planned","",$K270*$D270)</f>
        <v/>
      </c>
      <c r="R270" s="21" t="str">
        <f aca="false">IF($L270&lt;&gt;"Planned","",MAX(N($E270),$K270*$D270*$N270,$K270*N($G270)))</f>
        <v/>
      </c>
      <c r="S270" s="21" t="str">
        <f aca="false">IF($L270&lt;&gt;"Planned","",$P270)</f>
        <v/>
      </c>
      <c r="T270" s="21" t="str">
        <f aca="false">IF($L270&lt;&gt;"Planned","",$P270+$Q270)</f>
        <v/>
      </c>
      <c r="U270" s="21" t="str">
        <f aca="false">IF($L270&lt;&gt;"Planned","",$T270+$R270)</f>
        <v/>
      </c>
      <c r="V270" s="8" t="str">
        <f aca="false">IF($A270="","",SUMIFS('Open supply'!$C:$C,'Open supply'!$A:$A,$AF270))</f>
        <v/>
      </c>
      <c r="W270" s="8" t="str">
        <f aca="false">IF($A270="","",SUMIFS('Open supply'!$C:$C,'Open supply'!$A:$A,$AF270,'Open supply'!$B:$B,"&lt;"&amp;PlanDate))</f>
        <v/>
      </c>
      <c r="X270" s="8" t="str">
        <f aca="false">IF($A270="","",SUMIFS('Open demand'!$G:$G,'Open demand'!$A:$A,$AF270))</f>
        <v/>
      </c>
      <c r="Y270" s="8" t="str">
        <f aca="false">IF($L270&lt;&gt;"Planned","",N($H270)+$V270-$X270)</f>
        <v/>
      </c>
      <c r="Z270" s="19" t="str">
        <f aca="false">IF($L270&lt;&gt;"Planned","",IF($Y270&lt;=$S270,"Red",IF($Y270&lt;=$T270,"Yellow",IF($Y270&lt;=$U270,"Green","Above green"))))</f>
        <v/>
      </c>
      <c r="AA270" s="22" t="str">
        <f aca="false">IF(OR($L270&lt;&gt;"Planned",N($U270)&lt;=0),"",$Y270/$U270)</f>
        <v/>
      </c>
      <c r="AB270" s="8" t="str">
        <f aca="false">IF($L270&lt;&gt;"Planned","",IF($Y270&lt;=$T270,ROUNDUP(MAX($U270-$Y270,N($E270))/IF(N($F270)&gt;0,$F270,1)-0.000000001,0)*IF(N($F270)&gt;0,$F270,1),""))</f>
        <v/>
      </c>
      <c r="AC270" s="23" t="str">
        <f aca="false">IF(N($AB270)&gt;0,PlanDate+ROUNDUP($D270,0),"")</f>
        <v/>
      </c>
      <c r="AD270" s="19" t="str">
        <f aca="false">IF($L270&lt;&gt;"Planned","",IF(N($H270)&lt;=0,"Stockout",IF(N($H270)&lt;$S270*0.5,"Critical",IF(N($H270)&lt;=$S270,"Low",IF(N($H270)&gt;$U270,"Over top of green","OK")))))</f>
        <v/>
      </c>
      <c r="AE270" s="8" t="str">
        <f aca="false">IF($A270="","",$A270&amp;"")</f>
        <v/>
      </c>
      <c r="AF270" s="8" t="str">
        <f aca="false">IF($A270="","",SUBSTITUTE(SUBSTITUTE(SUBSTITUTE($A270&amp;"","~","~~"),"*","~*"),"?","~?"))</f>
        <v/>
      </c>
    </row>
    <row r="271" customFormat="false" ht="15" hidden="false" customHeight="false" outlineLevel="0" collapsed="false">
      <c r="A271" s="11"/>
      <c r="B271" s="11"/>
      <c r="C271" s="11"/>
      <c r="D271" s="16"/>
      <c r="E271" s="11"/>
      <c r="F271" s="11"/>
      <c r="G271" s="9"/>
      <c r="H271" s="11"/>
      <c r="I271" s="17"/>
      <c r="J271" s="18" t="str">
        <f aca="false">IF($A271="","",IF(COUNT(Usage!$C:$C)=0,"",MAX(0,SUMIFS(Usage!$C:$C,Usage!$A:$A,$AF271,Usage!$B:$B,"&gt;="&amp;(PlanDate-AduWindow),Usage!$B:$B,"&lt;"&amp;PlanDate))/AduWindow))</f>
        <v/>
      </c>
      <c r="K271" s="18" t="str">
        <f aca="false">IF($A271="","",IF(AND(ISNUMBER($I271),N($I271)&gt;=0),$I271,$J271))</f>
        <v/>
      </c>
      <c r="L271" s="19" t="str">
        <f aca="false">IF($A271="","",IF($K271="","Needs ADU",IF($K271&lt;=0,"No recent demand",IF(N($D271)&lt;=0,"Needs lead time","Planned"))))</f>
        <v/>
      </c>
      <c r="M271" s="8" t="str">
        <f aca="false">IF($A271="","",IF(ISNUMBER(MATCH($C271,Profiles!$A$2:$A$100,0)),$C271,DefaultProfile))</f>
        <v/>
      </c>
      <c r="N271" s="20" t="str">
        <f aca="false">IF($A271="","",INDEX(Profiles!$D$2:$D$100,MATCH($M271,Profiles!$A$2:$A$100,0)))</f>
        <v/>
      </c>
      <c r="O271" s="20" t="str">
        <f aca="false">IF($A271="","",INDEX(Profiles!$E$2:$E$100,MATCH($M271,Profiles!$A$2:$A$100,0)))</f>
        <v/>
      </c>
      <c r="P271" s="21" t="str">
        <f aca="false">IF($L271&lt;&gt;"Planned","",$K271*$D271*$N271*(1+$O271))</f>
        <v/>
      </c>
      <c r="Q271" s="21" t="str">
        <f aca="false">IF($L271&lt;&gt;"Planned","",$K271*$D271)</f>
        <v/>
      </c>
      <c r="R271" s="21" t="str">
        <f aca="false">IF($L271&lt;&gt;"Planned","",MAX(N($E271),$K271*$D271*$N271,$K271*N($G271)))</f>
        <v/>
      </c>
      <c r="S271" s="21" t="str">
        <f aca="false">IF($L271&lt;&gt;"Planned","",$P271)</f>
        <v/>
      </c>
      <c r="T271" s="21" t="str">
        <f aca="false">IF($L271&lt;&gt;"Planned","",$P271+$Q271)</f>
        <v/>
      </c>
      <c r="U271" s="21" t="str">
        <f aca="false">IF($L271&lt;&gt;"Planned","",$T271+$R271)</f>
        <v/>
      </c>
      <c r="V271" s="8" t="str">
        <f aca="false">IF($A271="","",SUMIFS('Open supply'!$C:$C,'Open supply'!$A:$A,$AF271))</f>
        <v/>
      </c>
      <c r="W271" s="8" t="str">
        <f aca="false">IF($A271="","",SUMIFS('Open supply'!$C:$C,'Open supply'!$A:$A,$AF271,'Open supply'!$B:$B,"&lt;"&amp;PlanDate))</f>
        <v/>
      </c>
      <c r="X271" s="8" t="str">
        <f aca="false">IF($A271="","",SUMIFS('Open demand'!$G:$G,'Open demand'!$A:$A,$AF271))</f>
        <v/>
      </c>
      <c r="Y271" s="8" t="str">
        <f aca="false">IF($L271&lt;&gt;"Planned","",N($H271)+$V271-$X271)</f>
        <v/>
      </c>
      <c r="Z271" s="19" t="str">
        <f aca="false">IF($L271&lt;&gt;"Planned","",IF($Y271&lt;=$S271,"Red",IF($Y271&lt;=$T271,"Yellow",IF($Y271&lt;=$U271,"Green","Above green"))))</f>
        <v/>
      </c>
      <c r="AA271" s="22" t="str">
        <f aca="false">IF(OR($L271&lt;&gt;"Planned",N($U271)&lt;=0),"",$Y271/$U271)</f>
        <v/>
      </c>
      <c r="AB271" s="8" t="str">
        <f aca="false">IF($L271&lt;&gt;"Planned","",IF($Y271&lt;=$T271,ROUNDUP(MAX($U271-$Y271,N($E271))/IF(N($F271)&gt;0,$F271,1)-0.000000001,0)*IF(N($F271)&gt;0,$F271,1),""))</f>
        <v/>
      </c>
      <c r="AC271" s="23" t="str">
        <f aca="false">IF(N($AB271)&gt;0,PlanDate+ROUNDUP($D271,0),"")</f>
        <v/>
      </c>
      <c r="AD271" s="19" t="str">
        <f aca="false">IF($L271&lt;&gt;"Planned","",IF(N($H271)&lt;=0,"Stockout",IF(N($H271)&lt;$S271*0.5,"Critical",IF(N($H271)&lt;=$S271,"Low",IF(N($H271)&gt;$U271,"Over top of green","OK")))))</f>
        <v/>
      </c>
      <c r="AE271" s="8" t="str">
        <f aca="false">IF($A271="","",$A271&amp;"")</f>
        <v/>
      </c>
      <c r="AF271" s="8" t="str">
        <f aca="false">IF($A271="","",SUBSTITUTE(SUBSTITUTE(SUBSTITUTE($A271&amp;"","~","~~"),"*","~*"),"?","~?"))</f>
        <v/>
      </c>
    </row>
    <row r="272" customFormat="false" ht="15" hidden="false" customHeight="false" outlineLevel="0" collapsed="false">
      <c r="A272" s="11"/>
      <c r="B272" s="11"/>
      <c r="C272" s="11"/>
      <c r="D272" s="16"/>
      <c r="E272" s="11"/>
      <c r="F272" s="11"/>
      <c r="G272" s="9"/>
      <c r="H272" s="11"/>
      <c r="I272" s="17"/>
      <c r="J272" s="18" t="str">
        <f aca="false">IF($A272="","",IF(COUNT(Usage!$C:$C)=0,"",MAX(0,SUMIFS(Usage!$C:$C,Usage!$A:$A,$AF272,Usage!$B:$B,"&gt;="&amp;(PlanDate-AduWindow),Usage!$B:$B,"&lt;"&amp;PlanDate))/AduWindow))</f>
        <v/>
      </c>
      <c r="K272" s="18" t="str">
        <f aca="false">IF($A272="","",IF(AND(ISNUMBER($I272),N($I272)&gt;=0),$I272,$J272))</f>
        <v/>
      </c>
      <c r="L272" s="19" t="str">
        <f aca="false">IF($A272="","",IF($K272="","Needs ADU",IF($K272&lt;=0,"No recent demand",IF(N($D272)&lt;=0,"Needs lead time","Planned"))))</f>
        <v/>
      </c>
      <c r="M272" s="8" t="str">
        <f aca="false">IF($A272="","",IF(ISNUMBER(MATCH($C272,Profiles!$A$2:$A$100,0)),$C272,DefaultProfile))</f>
        <v/>
      </c>
      <c r="N272" s="20" t="str">
        <f aca="false">IF($A272="","",INDEX(Profiles!$D$2:$D$100,MATCH($M272,Profiles!$A$2:$A$100,0)))</f>
        <v/>
      </c>
      <c r="O272" s="20" t="str">
        <f aca="false">IF($A272="","",INDEX(Profiles!$E$2:$E$100,MATCH($M272,Profiles!$A$2:$A$100,0)))</f>
        <v/>
      </c>
      <c r="P272" s="21" t="str">
        <f aca="false">IF($L272&lt;&gt;"Planned","",$K272*$D272*$N272*(1+$O272))</f>
        <v/>
      </c>
      <c r="Q272" s="21" t="str">
        <f aca="false">IF($L272&lt;&gt;"Planned","",$K272*$D272)</f>
        <v/>
      </c>
      <c r="R272" s="21" t="str">
        <f aca="false">IF($L272&lt;&gt;"Planned","",MAX(N($E272),$K272*$D272*$N272,$K272*N($G272)))</f>
        <v/>
      </c>
      <c r="S272" s="21" t="str">
        <f aca="false">IF($L272&lt;&gt;"Planned","",$P272)</f>
        <v/>
      </c>
      <c r="T272" s="21" t="str">
        <f aca="false">IF($L272&lt;&gt;"Planned","",$P272+$Q272)</f>
        <v/>
      </c>
      <c r="U272" s="21" t="str">
        <f aca="false">IF($L272&lt;&gt;"Planned","",$T272+$R272)</f>
        <v/>
      </c>
      <c r="V272" s="8" t="str">
        <f aca="false">IF($A272="","",SUMIFS('Open supply'!$C:$C,'Open supply'!$A:$A,$AF272))</f>
        <v/>
      </c>
      <c r="W272" s="8" t="str">
        <f aca="false">IF($A272="","",SUMIFS('Open supply'!$C:$C,'Open supply'!$A:$A,$AF272,'Open supply'!$B:$B,"&lt;"&amp;PlanDate))</f>
        <v/>
      </c>
      <c r="X272" s="8" t="str">
        <f aca="false">IF($A272="","",SUMIFS('Open demand'!$G:$G,'Open demand'!$A:$A,$AF272))</f>
        <v/>
      </c>
      <c r="Y272" s="8" t="str">
        <f aca="false">IF($L272&lt;&gt;"Planned","",N($H272)+$V272-$X272)</f>
        <v/>
      </c>
      <c r="Z272" s="19" t="str">
        <f aca="false">IF($L272&lt;&gt;"Planned","",IF($Y272&lt;=$S272,"Red",IF($Y272&lt;=$T272,"Yellow",IF($Y272&lt;=$U272,"Green","Above green"))))</f>
        <v/>
      </c>
      <c r="AA272" s="22" t="str">
        <f aca="false">IF(OR($L272&lt;&gt;"Planned",N($U272)&lt;=0),"",$Y272/$U272)</f>
        <v/>
      </c>
      <c r="AB272" s="8" t="str">
        <f aca="false">IF($L272&lt;&gt;"Planned","",IF($Y272&lt;=$T272,ROUNDUP(MAX($U272-$Y272,N($E272))/IF(N($F272)&gt;0,$F272,1)-0.000000001,0)*IF(N($F272)&gt;0,$F272,1),""))</f>
        <v/>
      </c>
      <c r="AC272" s="23" t="str">
        <f aca="false">IF(N($AB272)&gt;0,PlanDate+ROUNDUP($D272,0),"")</f>
        <v/>
      </c>
      <c r="AD272" s="19" t="str">
        <f aca="false">IF($L272&lt;&gt;"Planned","",IF(N($H272)&lt;=0,"Stockout",IF(N($H272)&lt;$S272*0.5,"Critical",IF(N($H272)&lt;=$S272,"Low",IF(N($H272)&gt;$U272,"Over top of green","OK")))))</f>
        <v/>
      </c>
      <c r="AE272" s="8" t="str">
        <f aca="false">IF($A272="","",$A272&amp;"")</f>
        <v/>
      </c>
      <c r="AF272" s="8" t="str">
        <f aca="false">IF($A272="","",SUBSTITUTE(SUBSTITUTE(SUBSTITUTE($A272&amp;"","~","~~"),"*","~*"),"?","~?"))</f>
        <v/>
      </c>
    </row>
    <row r="273" customFormat="false" ht="15" hidden="false" customHeight="false" outlineLevel="0" collapsed="false">
      <c r="A273" s="11"/>
      <c r="B273" s="11"/>
      <c r="C273" s="11"/>
      <c r="D273" s="16"/>
      <c r="E273" s="11"/>
      <c r="F273" s="11"/>
      <c r="G273" s="9"/>
      <c r="H273" s="11"/>
      <c r="I273" s="17"/>
      <c r="J273" s="18" t="str">
        <f aca="false">IF($A273="","",IF(COUNT(Usage!$C:$C)=0,"",MAX(0,SUMIFS(Usage!$C:$C,Usage!$A:$A,$AF273,Usage!$B:$B,"&gt;="&amp;(PlanDate-AduWindow),Usage!$B:$B,"&lt;"&amp;PlanDate))/AduWindow))</f>
        <v/>
      </c>
      <c r="K273" s="18" t="str">
        <f aca="false">IF($A273="","",IF(AND(ISNUMBER($I273),N($I273)&gt;=0),$I273,$J273))</f>
        <v/>
      </c>
      <c r="L273" s="19" t="str">
        <f aca="false">IF($A273="","",IF($K273="","Needs ADU",IF($K273&lt;=0,"No recent demand",IF(N($D273)&lt;=0,"Needs lead time","Planned"))))</f>
        <v/>
      </c>
      <c r="M273" s="8" t="str">
        <f aca="false">IF($A273="","",IF(ISNUMBER(MATCH($C273,Profiles!$A$2:$A$100,0)),$C273,DefaultProfile))</f>
        <v/>
      </c>
      <c r="N273" s="20" t="str">
        <f aca="false">IF($A273="","",INDEX(Profiles!$D$2:$D$100,MATCH($M273,Profiles!$A$2:$A$100,0)))</f>
        <v/>
      </c>
      <c r="O273" s="20" t="str">
        <f aca="false">IF($A273="","",INDEX(Profiles!$E$2:$E$100,MATCH($M273,Profiles!$A$2:$A$100,0)))</f>
        <v/>
      </c>
      <c r="P273" s="21" t="str">
        <f aca="false">IF($L273&lt;&gt;"Planned","",$K273*$D273*$N273*(1+$O273))</f>
        <v/>
      </c>
      <c r="Q273" s="21" t="str">
        <f aca="false">IF($L273&lt;&gt;"Planned","",$K273*$D273)</f>
        <v/>
      </c>
      <c r="R273" s="21" t="str">
        <f aca="false">IF($L273&lt;&gt;"Planned","",MAX(N($E273),$K273*$D273*$N273,$K273*N($G273)))</f>
        <v/>
      </c>
      <c r="S273" s="21" t="str">
        <f aca="false">IF($L273&lt;&gt;"Planned","",$P273)</f>
        <v/>
      </c>
      <c r="T273" s="21" t="str">
        <f aca="false">IF($L273&lt;&gt;"Planned","",$P273+$Q273)</f>
        <v/>
      </c>
      <c r="U273" s="21" t="str">
        <f aca="false">IF($L273&lt;&gt;"Planned","",$T273+$R273)</f>
        <v/>
      </c>
      <c r="V273" s="8" t="str">
        <f aca="false">IF($A273="","",SUMIFS('Open supply'!$C:$C,'Open supply'!$A:$A,$AF273))</f>
        <v/>
      </c>
      <c r="W273" s="8" t="str">
        <f aca="false">IF($A273="","",SUMIFS('Open supply'!$C:$C,'Open supply'!$A:$A,$AF273,'Open supply'!$B:$B,"&lt;"&amp;PlanDate))</f>
        <v/>
      </c>
      <c r="X273" s="8" t="str">
        <f aca="false">IF($A273="","",SUMIFS('Open demand'!$G:$G,'Open demand'!$A:$A,$AF273))</f>
        <v/>
      </c>
      <c r="Y273" s="8" t="str">
        <f aca="false">IF($L273&lt;&gt;"Planned","",N($H273)+$V273-$X273)</f>
        <v/>
      </c>
      <c r="Z273" s="19" t="str">
        <f aca="false">IF($L273&lt;&gt;"Planned","",IF($Y273&lt;=$S273,"Red",IF($Y273&lt;=$T273,"Yellow",IF($Y273&lt;=$U273,"Green","Above green"))))</f>
        <v/>
      </c>
      <c r="AA273" s="22" t="str">
        <f aca="false">IF(OR($L273&lt;&gt;"Planned",N($U273)&lt;=0),"",$Y273/$U273)</f>
        <v/>
      </c>
      <c r="AB273" s="8" t="str">
        <f aca="false">IF($L273&lt;&gt;"Planned","",IF($Y273&lt;=$T273,ROUNDUP(MAX($U273-$Y273,N($E273))/IF(N($F273)&gt;0,$F273,1)-0.000000001,0)*IF(N($F273)&gt;0,$F273,1),""))</f>
        <v/>
      </c>
      <c r="AC273" s="23" t="str">
        <f aca="false">IF(N($AB273)&gt;0,PlanDate+ROUNDUP($D273,0),"")</f>
        <v/>
      </c>
      <c r="AD273" s="19" t="str">
        <f aca="false">IF($L273&lt;&gt;"Planned","",IF(N($H273)&lt;=0,"Stockout",IF(N($H273)&lt;$S273*0.5,"Critical",IF(N($H273)&lt;=$S273,"Low",IF(N($H273)&gt;$U273,"Over top of green","OK")))))</f>
        <v/>
      </c>
      <c r="AE273" s="8" t="str">
        <f aca="false">IF($A273="","",$A273&amp;"")</f>
        <v/>
      </c>
      <c r="AF273" s="8" t="str">
        <f aca="false">IF($A273="","",SUBSTITUTE(SUBSTITUTE(SUBSTITUTE($A273&amp;"","~","~~"),"*","~*"),"?","~?"))</f>
        <v/>
      </c>
    </row>
    <row r="274" customFormat="false" ht="15" hidden="false" customHeight="false" outlineLevel="0" collapsed="false">
      <c r="A274" s="11"/>
      <c r="B274" s="11"/>
      <c r="C274" s="11"/>
      <c r="D274" s="16"/>
      <c r="E274" s="11"/>
      <c r="F274" s="11"/>
      <c r="G274" s="9"/>
      <c r="H274" s="11"/>
      <c r="I274" s="17"/>
      <c r="J274" s="18" t="str">
        <f aca="false">IF($A274="","",IF(COUNT(Usage!$C:$C)=0,"",MAX(0,SUMIFS(Usage!$C:$C,Usage!$A:$A,$AF274,Usage!$B:$B,"&gt;="&amp;(PlanDate-AduWindow),Usage!$B:$B,"&lt;"&amp;PlanDate))/AduWindow))</f>
        <v/>
      </c>
      <c r="K274" s="18" t="str">
        <f aca="false">IF($A274="","",IF(AND(ISNUMBER($I274),N($I274)&gt;=0),$I274,$J274))</f>
        <v/>
      </c>
      <c r="L274" s="19" t="str">
        <f aca="false">IF($A274="","",IF($K274="","Needs ADU",IF($K274&lt;=0,"No recent demand",IF(N($D274)&lt;=0,"Needs lead time","Planned"))))</f>
        <v/>
      </c>
      <c r="M274" s="8" t="str">
        <f aca="false">IF($A274="","",IF(ISNUMBER(MATCH($C274,Profiles!$A$2:$A$100,0)),$C274,DefaultProfile))</f>
        <v/>
      </c>
      <c r="N274" s="20" t="str">
        <f aca="false">IF($A274="","",INDEX(Profiles!$D$2:$D$100,MATCH($M274,Profiles!$A$2:$A$100,0)))</f>
        <v/>
      </c>
      <c r="O274" s="20" t="str">
        <f aca="false">IF($A274="","",INDEX(Profiles!$E$2:$E$100,MATCH($M274,Profiles!$A$2:$A$100,0)))</f>
        <v/>
      </c>
      <c r="P274" s="21" t="str">
        <f aca="false">IF($L274&lt;&gt;"Planned","",$K274*$D274*$N274*(1+$O274))</f>
        <v/>
      </c>
      <c r="Q274" s="21" t="str">
        <f aca="false">IF($L274&lt;&gt;"Planned","",$K274*$D274)</f>
        <v/>
      </c>
      <c r="R274" s="21" t="str">
        <f aca="false">IF($L274&lt;&gt;"Planned","",MAX(N($E274),$K274*$D274*$N274,$K274*N($G274)))</f>
        <v/>
      </c>
      <c r="S274" s="21" t="str">
        <f aca="false">IF($L274&lt;&gt;"Planned","",$P274)</f>
        <v/>
      </c>
      <c r="T274" s="21" t="str">
        <f aca="false">IF($L274&lt;&gt;"Planned","",$P274+$Q274)</f>
        <v/>
      </c>
      <c r="U274" s="21" t="str">
        <f aca="false">IF($L274&lt;&gt;"Planned","",$T274+$R274)</f>
        <v/>
      </c>
      <c r="V274" s="8" t="str">
        <f aca="false">IF($A274="","",SUMIFS('Open supply'!$C:$C,'Open supply'!$A:$A,$AF274))</f>
        <v/>
      </c>
      <c r="W274" s="8" t="str">
        <f aca="false">IF($A274="","",SUMIFS('Open supply'!$C:$C,'Open supply'!$A:$A,$AF274,'Open supply'!$B:$B,"&lt;"&amp;PlanDate))</f>
        <v/>
      </c>
      <c r="X274" s="8" t="str">
        <f aca="false">IF($A274="","",SUMIFS('Open demand'!$G:$G,'Open demand'!$A:$A,$AF274))</f>
        <v/>
      </c>
      <c r="Y274" s="8" t="str">
        <f aca="false">IF($L274&lt;&gt;"Planned","",N($H274)+$V274-$X274)</f>
        <v/>
      </c>
      <c r="Z274" s="19" t="str">
        <f aca="false">IF($L274&lt;&gt;"Planned","",IF($Y274&lt;=$S274,"Red",IF($Y274&lt;=$T274,"Yellow",IF($Y274&lt;=$U274,"Green","Above green"))))</f>
        <v/>
      </c>
      <c r="AA274" s="22" t="str">
        <f aca="false">IF(OR($L274&lt;&gt;"Planned",N($U274)&lt;=0),"",$Y274/$U274)</f>
        <v/>
      </c>
      <c r="AB274" s="8" t="str">
        <f aca="false">IF($L274&lt;&gt;"Planned","",IF($Y274&lt;=$T274,ROUNDUP(MAX($U274-$Y274,N($E274))/IF(N($F274)&gt;0,$F274,1)-0.000000001,0)*IF(N($F274)&gt;0,$F274,1),""))</f>
        <v/>
      </c>
      <c r="AC274" s="23" t="str">
        <f aca="false">IF(N($AB274)&gt;0,PlanDate+ROUNDUP($D274,0),"")</f>
        <v/>
      </c>
      <c r="AD274" s="19" t="str">
        <f aca="false">IF($L274&lt;&gt;"Planned","",IF(N($H274)&lt;=0,"Stockout",IF(N($H274)&lt;$S274*0.5,"Critical",IF(N($H274)&lt;=$S274,"Low",IF(N($H274)&gt;$U274,"Over top of green","OK")))))</f>
        <v/>
      </c>
      <c r="AE274" s="8" t="str">
        <f aca="false">IF($A274="","",$A274&amp;"")</f>
        <v/>
      </c>
      <c r="AF274" s="8" t="str">
        <f aca="false">IF($A274="","",SUBSTITUTE(SUBSTITUTE(SUBSTITUTE($A274&amp;"","~","~~"),"*","~*"),"?","~?"))</f>
        <v/>
      </c>
    </row>
    <row r="275" customFormat="false" ht="15" hidden="false" customHeight="false" outlineLevel="0" collapsed="false">
      <c r="A275" s="11"/>
      <c r="B275" s="11"/>
      <c r="C275" s="11"/>
      <c r="D275" s="16"/>
      <c r="E275" s="11"/>
      <c r="F275" s="11"/>
      <c r="G275" s="9"/>
      <c r="H275" s="11"/>
      <c r="I275" s="17"/>
      <c r="J275" s="18" t="str">
        <f aca="false">IF($A275="","",IF(COUNT(Usage!$C:$C)=0,"",MAX(0,SUMIFS(Usage!$C:$C,Usage!$A:$A,$AF275,Usage!$B:$B,"&gt;="&amp;(PlanDate-AduWindow),Usage!$B:$B,"&lt;"&amp;PlanDate))/AduWindow))</f>
        <v/>
      </c>
      <c r="K275" s="18" t="str">
        <f aca="false">IF($A275="","",IF(AND(ISNUMBER($I275),N($I275)&gt;=0),$I275,$J275))</f>
        <v/>
      </c>
      <c r="L275" s="19" t="str">
        <f aca="false">IF($A275="","",IF($K275="","Needs ADU",IF($K275&lt;=0,"No recent demand",IF(N($D275)&lt;=0,"Needs lead time","Planned"))))</f>
        <v/>
      </c>
      <c r="M275" s="8" t="str">
        <f aca="false">IF($A275="","",IF(ISNUMBER(MATCH($C275,Profiles!$A$2:$A$100,0)),$C275,DefaultProfile))</f>
        <v/>
      </c>
      <c r="N275" s="20" t="str">
        <f aca="false">IF($A275="","",INDEX(Profiles!$D$2:$D$100,MATCH($M275,Profiles!$A$2:$A$100,0)))</f>
        <v/>
      </c>
      <c r="O275" s="20" t="str">
        <f aca="false">IF($A275="","",INDEX(Profiles!$E$2:$E$100,MATCH($M275,Profiles!$A$2:$A$100,0)))</f>
        <v/>
      </c>
      <c r="P275" s="21" t="str">
        <f aca="false">IF($L275&lt;&gt;"Planned","",$K275*$D275*$N275*(1+$O275))</f>
        <v/>
      </c>
      <c r="Q275" s="21" t="str">
        <f aca="false">IF($L275&lt;&gt;"Planned","",$K275*$D275)</f>
        <v/>
      </c>
      <c r="R275" s="21" t="str">
        <f aca="false">IF($L275&lt;&gt;"Planned","",MAX(N($E275),$K275*$D275*$N275,$K275*N($G275)))</f>
        <v/>
      </c>
      <c r="S275" s="21" t="str">
        <f aca="false">IF($L275&lt;&gt;"Planned","",$P275)</f>
        <v/>
      </c>
      <c r="T275" s="21" t="str">
        <f aca="false">IF($L275&lt;&gt;"Planned","",$P275+$Q275)</f>
        <v/>
      </c>
      <c r="U275" s="21" t="str">
        <f aca="false">IF($L275&lt;&gt;"Planned","",$T275+$R275)</f>
        <v/>
      </c>
      <c r="V275" s="8" t="str">
        <f aca="false">IF($A275="","",SUMIFS('Open supply'!$C:$C,'Open supply'!$A:$A,$AF275))</f>
        <v/>
      </c>
      <c r="W275" s="8" t="str">
        <f aca="false">IF($A275="","",SUMIFS('Open supply'!$C:$C,'Open supply'!$A:$A,$AF275,'Open supply'!$B:$B,"&lt;"&amp;PlanDate))</f>
        <v/>
      </c>
      <c r="X275" s="8" t="str">
        <f aca="false">IF($A275="","",SUMIFS('Open demand'!$G:$G,'Open demand'!$A:$A,$AF275))</f>
        <v/>
      </c>
      <c r="Y275" s="8" t="str">
        <f aca="false">IF($L275&lt;&gt;"Planned","",N($H275)+$V275-$X275)</f>
        <v/>
      </c>
      <c r="Z275" s="19" t="str">
        <f aca="false">IF($L275&lt;&gt;"Planned","",IF($Y275&lt;=$S275,"Red",IF($Y275&lt;=$T275,"Yellow",IF($Y275&lt;=$U275,"Green","Above green"))))</f>
        <v/>
      </c>
      <c r="AA275" s="22" t="str">
        <f aca="false">IF(OR($L275&lt;&gt;"Planned",N($U275)&lt;=0),"",$Y275/$U275)</f>
        <v/>
      </c>
      <c r="AB275" s="8" t="str">
        <f aca="false">IF($L275&lt;&gt;"Planned","",IF($Y275&lt;=$T275,ROUNDUP(MAX($U275-$Y275,N($E275))/IF(N($F275)&gt;0,$F275,1)-0.000000001,0)*IF(N($F275)&gt;0,$F275,1),""))</f>
        <v/>
      </c>
      <c r="AC275" s="23" t="str">
        <f aca="false">IF(N($AB275)&gt;0,PlanDate+ROUNDUP($D275,0),"")</f>
        <v/>
      </c>
      <c r="AD275" s="19" t="str">
        <f aca="false">IF($L275&lt;&gt;"Planned","",IF(N($H275)&lt;=0,"Stockout",IF(N($H275)&lt;$S275*0.5,"Critical",IF(N($H275)&lt;=$S275,"Low",IF(N($H275)&gt;$U275,"Over top of green","OK")))))</f>
        <v/>
      </c>
      <c r="AE275" s="8" t="str">
        <f aca="false">IF($A275="","",$A275&amp;"")</f>
        <v/>
      </c>
      <c r="AF275" s="8" t="str">
        <f aca="false">IF($A275="","",SUBSTITUTE(SUBSTITUTE(SUBSTITUTE($A275&amp;"","~","~~"),"*","~*"),"?","~?"))</f>
        <v/>
      </c>
    </row>
    <row r="276" customFormat="false" ht="15" hidden="false" customHeight="false" outlineLevel="0" collapsed="false">
      <c r="A276" s="11"/>
      <c r="B276" s="11"/>
      <c r="C276" s="11"/>
      <c r="D276" s="16"/>
      <c r="E276" s="11"/>
      <c r="F276" s="11"/>
      <c r="G276" s="9"/>
      <c r="H276" s="11"/>
      <c r="I276" s="17"/>
      <c r="J276" s="18" t="str">
        <f aca="false">IF($A276="","",IF(COUNT(Usage!$C:$C)=0,"",MAX(0,SUMIFS(Usage!$C:$C,Usage!$A:$A,$AF276,Usage!$B:$B,"&gt;="&amp;(PlanDate-AduWindow),Usage!$B:$B,"&lt;"&amp;PlanDate))/AduWindow))</f>
        <v/>
      </c>
      <c r="K276" s="18" t="str">
        <f aca="false">IF($A276="","",IF(AND(ISNUMBER($I276),N($I276)&gt;=0),$I276,$J276))</f>
        <v/>
      </c>
      <c r="L276" s="19" t="str">
        <f aca="false">IF($A276="","",IF($K276="","Needs ADU",IF($K276&lt;=0,"No recent demand",IF(N($D276)&lt;=0,"Needs lead time","Planned"))))</f>
        <v/>
      </c>
      <c r="M276" s="8" t="str">
        <f aca="false">IF($A276="","",IF(ISNUMBER(MATCH($C276,Profiles!$A$2:$A$100,0)),$C276,DefaultProfile))</f>
        <v/>
      </c>
      <c r="N276" s="20" t="str">
        <f aca="false">IF($A276="","",INDEX(Profiles!$D$2:$D$100,MATCH($M276,Profiles!$A$2:$A$100,0)))</f>
        <v/>
      </c>
      <c r="O276" s="20" t="str">
        <f aca="false">IF($A276="","",INDEX(Profiles!$E$2:$E$100,MATCH($M276,Profiles!$A$2:$A$100,0)))</f>
        <v/>
      </c>
      <c r="P276" s="21" t="str">
        <f aca="false">IF($L276&lt;&gt;"Planned","",$K276*$D276*$N276*(1+$O276))</f>
        <v/>
      </c>
      <c r="Q276" s="21" t="str">
        <f aca="false">IF($L276&lt;&gt;"Planned","",$K276*$D276)</f>
        <v/>
      </c>
      <c r="R276" s="21" t="str">
        <f aca="false">IF($L276&lt;&gt;"Planned","",MAX(N($E276),$K276*$D276*$N276,$K276*N($G276)))</f>
        <v/>
      </c>
      <c r="S276" s="21" t="str">
        <f aca="false">IF($L276&lt;&gt;"Planned","",$P276)</f>
        <v/>
      </c>
      <c r="T276" s="21" t="str">
        <f aca="false">IF($L276&lt;&gt;"Planned","",$P276+$Q276)</f>
        <v/>
      </c>
      <c r="U276" s="21" t="str">
        <f aca="false">IF($L276&lt;&gt;"Planned","",$T276+$R276)</f>
        <v/>
      </c>
      <c r="V276" s="8" t="str">
        <f aca="false">IF($A276="","",SUMIFS('Open supply'!$C:$C,'Open supply'!$A:$A,$AF276))</f>
        <v/>
      </c>
      <c r="W276" s="8" t="str">
        <f aca="false">IF($A276="","",SUMIFS('Open supply'!$C:$C,'Open supply'!$A:$A,$AF276,'Open supply'!$B:$B,"&lt;"&amp;PlanDate))</f>
        <v/>
      </c>
      <c r="X276" s="8" t="str">
        <f aca="false">IF($A276="","",SUMIFS('Open demand'!$G:$G,'Open demand'!$A:$A,$AF276))</f>
        <v/>
      </c>
      <c r="Y276" s="8" t="str">
        <f aca="false">IF($L276&lt;&gt;"Planned","",N($H276)+$V276-$X276)</f>
        <v/>
      </c>
      <c r="Z276" s="19" t="str">
        <f aca="false">IF($L276&lt;&gt;"Planned","",IF($Y276&lt;=$S276,"Red",IF($Y276&lt;=$T276,"Yellow",IF($Y276&lt;=$U276,"Green","Above green"))))</f>
        <v/>
      </c>
      <c r="AA276" s="22" t="str">
        <f aca="false">IF(OR($L276&lt;&gt;"Planned",N($U276)&lt;=0),"",$Y276/$U276)</f>
        <v/>
      </c>
      <c r="AB276" s="8" t="str">
        <f aca="false">IF($L276&lt;&gt;"Planned","",IF($Y276&lt;=$T276,ROUNDUP(MAX($U276-$Y276,N($E276))/IF(N($F276)&gt;0,$F276,1)-0.000000001,0)*IF(N($F276)&gt;0,$F276,1),""))</f>
        <v/>
      </c>
      <c r="AC276" s="23" t="str">
        <f aca="false">IF(N($AB276)&gt;0,PlanDate+ROUNDUP($D276,0),"")</f>
        <v/>
      </c>
      <c r="AD276" s="19" t="str">
        <f aca="false">IF($L276&lt;&gt;"Planned","",IF(N($H276)&lt;=0,"Stockout",IF(N($H276)&lt;$S276*0.5,"Critical",IF(N($H276)&lt;=$S276,"Low",IF(N($H276)&gt;$U276,"Over top of green","OK")))))</f>
        <v/>
      </c>
      <c r="AE276" s="8" t="str">
        <f aca="false">IF($A276="","",$A276&amp;"")</f>
        <v/>
      </c>
      <c r="AF276" s="8" t="str">
        <f aca="false">IF($A276="","",SUBSTITUTE(SUBSTITUTE(SUBSTITUTE($A276&amp;"","~","~~"),"*","~*"),"?","~?"))</f>
        <v/>
      </c>
    </row>
    <row r="277" customFormat="false" ht="15" hidden="false" customHeight="false" outlineLevel="0" collapsed="false">
      <c r="A277" s="11"/>
      <c r="B277" s="11"/>
      <c r="C277" s="11"/>
      <c r="D277" s="16"/>
      <c r="E277" s="11"/>
      <c r="F277" s="11"/>
      <c r="G277" s="9"/>
      <c r="H277" s="11"/>
      <c r="I277" s="17"/>
      <c r="J277" s="18" t="str">
        <f aca="false">IF($A277="","",IF(COUNT(Usage!$C:$C)=0,"",MAX(0,SUMIFS(Usage!$C:$C,Usage!$A:$A,$AF277,Usage!$B:$B,"&gt;="&amp;(PlanDate-AduWindow),Usage!$B:$B,"&lt;"&amp;PlanDate))/AduWindow))</f>
        <v/>
      </c>
      <c r="K277" s="18" t="str">
        <f aca="false">IF($A277="","",IF(AND(ISNUMBER($I277),N($I277)&gt;=0),$I277,$J277))</f>
        <v/>
      </c>
      <c r="L277" s="19" t="str">
        <f aca="false">IF($A277="","",IF($K277="","Needs ADU",IF($K277&lt;=0,"No recent demand",IF(N($D277)&lt;=0,"Needs lead time","Planned"))))</f>
        <v/>
      </c>
      <c r="M277" s="8" t="str">
        <f aca="false">IF($A277="","",IF(ISNUMBER(MATCH($C277,Profiles!$A$2:$A$100,0)),$C277,DefaultProfile))</f>
        <v/>
      </c>
      <c r="N277" s="20" t="str">
        <f aca="false">IF($A277="","",INDEX(Profiles!$D$2:$D$100,MATCH($M277,Profiles!$A$2:$A$100,0)))</f>
        <v/>
      </c>
      <c r="O277" s="20" t="str">
        <f aca="false">IF($A277="","",INDEX(Profiles!$E$2:$E$100,MATCH($M277,Profiles!$A$2:$A$100,0)))</f>
        <v/>
      </c>
      <c r="P277" s="21" t="str">
        <f aca="false">IF($L277&lt;&gt;"Planned","",$K277*$D277*$N277*(1+$O277))</f>
        <v/>
      </c>
      <c r="Q277" s="21" t="str">
        <f aca="false">IF($L277&lt;&gt;"Planned","",$K277*$D277)</f>
        <v/>
      </c>
      <c r="R277" s="21" t="str">
        <f aca="false">IF($L277&lt;&gt;"Planned","",MAX(N($E277),$K277*$D277*$N277,$K277*N($G277)))</f>
        <v/>
      </c>
      <c r="S277" s="21" t="str">
        <f aca="false">IF($L277&lt;&gt;"Planned","",$P277)</f>
        <v/>
      </c>
      <c r="T277" s="21" t="str">
        <f aca="false">IF($L277&lt;&gt;"Planned","",$P277+$Q277)</f>
        <v/>
      </c>
      <c r="U277" s="21" t="str">
        <f aca="false">IF($L277&lt;&gt;"Planned","",$T277+$R277)</f>
        <v/>
      </c>
      <c r="V277" s="8" t="str">
        <f aca="false">IF($A277="","",SUMIFS('Open supply'!$C:$C,'Open supply'!$A:$A,$AF277))</f>
        <v/>
      </c>
      <c r="W277" s="8" t="str">
        <f aca="false">IF($A277="","",SUMIFS('Open supply'!$C:$C,'Open supply'!$A:$A,$AF277,'Open supply'!$B:$B,"&lt;"&amp;PlanDate))</f>
        <v/>
      </c>
      <c r="X277" s="8" t="str">
        <f aca="false">IF($A277="","",SUMIFS('Open demand'!$G:$G,'Open demand'!$A:$A,$AF277))</f>
        <v/>
      </c>
      <c r="Y277" s="8" t="str">
        <f aca="false">IF($L277&lt;&gt;"Planned","",N($H277)+$V277-$X277)</f>
        <v/>
      </c>
      <c r="Z277" s="19" t="str">
        <f aca="false">IF($L277&lt;&gt;"Planned","",IF($Y277&lt;=$S277,"Red",IF($Y277&lt;=$T277,"Yellow",IF($Y277&lt;=$U277,"Green","Above green"))))</f>
        <v/>
      </c>
      <c r="AA277" s="22" t="str">
        <f aca="false">IF(OR($L277&lt;&gt;"Planned",N($U277)&lt;=0),"",$Y277/$U277)</f>
        <v/>
      </c>
      <c r="AB277" s="8" t="str">
        <f aca="false">IF($L277&lt;&gt;"Planned","",IF($Y277&lt;=$T277,ROUNDUP(MAX($U277-$Y277,N($E277))/IF(N($F277)&gt;0,$F277,1)-0.000000001,0)*IF(N($F277)&gt;0,$F277,1),""))</f>
        <v/>
      </c>
      <c r="AC277" s="23" t="str">
        <f aca="false">IF(N($AB277)&gt;0,PlanDate+ROUNDUP($D277,0),"")</f>
        <v/>
      </c>
      <c r="AD277" s="19" t="str">
        <f aca="false">IF($L277&lt;&gt;"Planned","",IF(N($H277)&lt;=0,"Stockout",IF(N($H277)&lt;$S277*0.5,"Critical",IF(N($H277)&lt;=$S277,"Low",IF(N($H277)&gt;$U277,"Over top of green","OK")))))</f>
        <v/>
      </c>
      <c r="AE277" s="8" t="str">
        <f aca="false">IF($A277="","",$A277&amp;"")</f>
        <v/>
      </c>
      <c r="AF277" s="8" t="str">
        <f aca="false">IF($A277="","",SUBSTITUTE(SUBSTITUTE(SUBSTITUTE($A277&amp;"","~","~~"),"*","~*"),"?","~?"))</f>
        <v/>
      </c>
    </row>
    <row r="278" customFormat="false" ht="15" hidden="false" customHeight="false" outlineLevel="0" collapsed="false">
      <c r="A278" s="11"/>
      <c r="B278" s="11"/>
      <c r="C278" s="11"/>
      <c r="D278" s="16"/>
      <c r="E278" s="11"/>
      <c r="F278" s="11"/>
      <c r="G278" s="9"/>
      <c r="H278" s="11"/>
      <c r="I278" s="17"/>
      <c r="J278" s="18" t="str">
        <f aca="false">IF($A278="","",IF(COUNT(Usage!$C:$C)=0,"",MAX(0,SUMIFS(Usage!$C:$C,Usage!$A:$A,$AF278,Usage!$B:$B,"&gt;="&amp;(PlanDate-AduWindow),Usage!$B:$B,"&lt;"&amp;PlanDate))/AduWindow))</f>
        <v/>
      </c>
      <c r="K278" s="18" t="str">
        <f aca="false">IF($A278="","",IF(AND(ISNUMBER($I278),N($I278)&gt;=0),$I278,$J278))</f>
        <v/>
      </c>
      <c r="L278" s="19" t="str">
        <f aca="false">IF($A278="","",IF($K278="","Needs ADU",IF($K278&lt;=0,"No recent demand",IF(N($D278)&lt;=0,"Needs lead time","Planned"))))</f>
        <v/>
      </c>
      <c r="M278" s="8" t="str">
        <f aca="false">IF($A278="","",IF(ISNUMBER(MATCH($C278,Profiles!$A$2:$A$100,0)),$C278,DefaultProfile))</f>
        <v/>
      </c>
      <c r="N278" s="20" t="str">
        <f aca="false">IF($A278="","",INDEX(Profiles!$D$2:$D$100,MATCH($M278,Profiles!$A$2:$A$100,0)))</f>
        <v/>
      </c>
      <c r="O278" s="20" t="str">
        <f aca="false">IF($A278="","",INDEX(Profiles!$E$2:$E$100,MATCH($M278,Profiles!$A$2:$A$100,0)))</f>
        <v/>
      </c>
      <c r="P278" s="21" t="str">
        <f aca="false">IF($L278&lt;&gt;"Planned","",$K278*$D278*$N278*(1+$O278))</f>
        <v/>
      </c>
      <c r="Q278" s="21" t="str">
        <f aca="false">IF($L278&lt;&gt;"Planned","",$K278*$D278)</f>
        <v/>
      </c>
      <c r="R278" s="21" t="str">
        <f aca="false">IF($L278&lt;&gt;"Planned","",MAX(N($E278),$K278*$D278*$N278,$K278*N($G278)))</f>
        <v/>
      </c>
      <c r="S278" s="21" t="str">
        <f aca="false">IF($L278&lt;&gt;"Planned","",$P278)</f>
        <v/>
      </c>
      <c r="T278" s="21" t="str">
        <f aca="false">IF($L278&lt;&gt;"Planned","",$P278+$Q278)</f>
        <v/>
      </c>
      <c r="U278" s="21" t="str">
        <f aca="false">IF($L278&lt;&gt;"Planned","",$T278+$R278)</f>
        <v/>
      </c>
      <c r="V278" s="8" t="str">
        <f aca="false">IF($A278="","",SUMIFS('Open supply'!$C:$C,'Open supply'!$A:$A,$AF278))</f>
        <v/>
      </c>
      <c r="W278" s="8" t="str">
        <f aca="false">IF($A278="","",SUMIFS('Open supply'!$C:$C,'Open supply'!$A:$A,$AF278,'Open supply'!$B:$B,"&lt;"&amp;PlanDate))</f>
        <v/>
      </c>
      <c r="X278" s="8" t="str">
        <f aca="false">IF($A278="","",SUMIFS('Open demand'!$G:$G,'Open demand'!$A:$A,$AF278))</f>
        <v/>
      </c>
      <c r="Y278" s="8" t="str">
        <f aca="false">IF($L278&lt;&gt;"Planned","",N($H278)+$V278-$X278)</f>
        <v/>
      </c>
      <c r="Z278" s="19" t="str">
        <f aca="false">IF($L278&lt;&gt;"Planned","",IF($Y278&lt;=$S278,"Red",IF($Y278&lt;=$T278,"Yellow",IF($Y278&lt;=$U278,"Green","Above green"))))</f>
        <v/>
      </c>
      <c r="AA278" s="22" t="str">
        <f aca="false">IF(OR($L278&lt;&gt;"Planned",N($U278)&lt;=0),"",$Y278/$U278)</f>
        <v/>
      </c>
      <c r="AB278" s="8" t="str">
        <f aca="false">IF($L278&lt;&gt;"Planned","",IF($Y278&lt;=$T278,ROUNDUP(MAX($U278-$Y278,N($E278))/IF(N($F278)&gt;0,$F278,1)-0.000000001,0)*IF(N($F278)&gt;0,$F278,1),""))</f>
        <v/>
      </c>
      <c r="AC278" s="23" t="str">
        <f aca="false">IF(N($AB278)&gt;0,PlanDate+ROUNDUP($D278,0),"")</f>
        <v/>
      </c>
      <c r="AD278" s="19" t="str">
        <f aca="false">IF($L278&lt;&gt;"Planned","",IF(N($H278)&lt;=0,"Stockout",IF(N($H278)&lt;$S278*0.5,"Critical",IF(N($H278)&lt;=$S278,"Low",IF(N($H278)&gt;$U278,"Over top of green","OK")))))</f>
        <v/>
      </c>
      <c r="AE278" s="8" t="str">
        <f aca="false">IF($A278="","",$A278&amp;"")</f>
        <v/>
      </c>
      <c r="AF278" s="8" t="str">
        <f aca="false">IF($A278="","",SUBSTITUTE(SUBSTITUTE(SUBSTITUTE($A278&amp;"","~","~~"),"*","~*"),"?","~?"))</f>
        <v/>
      </c>
    </row>
    <row r="279" customFormat="false" ht="15" hidden="false" customHeight="false" outlineLevel="0" collapsed="false">
      <c r="A279" s="11"/>
      <c r="B279" s="11"/>
      <c r="C279" s="11"/>
      <c r="D279" s="16"/>
      <c r="E279" s="11"/>
      <c r="F279" s="11"/>
      <c r="G279" s="9"/>
      <c r="H279" s="11"/>
      <c r="I279" s="17"/>
      <c r="J279" s="18" t="str">
        <f aca="false">IF($A279="","",IF(COUNT(Usage!$C:$C)=0,"",MAX(0,SUMIFS(Usage!$C:$C,Usage!$A:$A,$AF279,Usage!$B:$B,"&gt;="&amp;(PlanDate-AduWindow),Usage!$B:$B,"&lt;"&amp;PlanDate))/AduWindow))</f>
        <v/>
      </c>
      <c r="K279" s="18" t="str">
        <f aca="false">IF($A279="","",IF(AND(ISNUMBER($I279),N($I279)&gt;=0),$I279,$J279))</f>
        <v/>
      </c>
      <c r="L279" s="19" t="str">
        <f aca="false">IF($A279="","",IF($K279="","Needs ADU",IF($K279&lt;=0,"No recent demand",IF(N($D279)&lt;=0,"Needs lead time","Planned"))))</f>
        <v/>
      </c>
      <c r="M279" s="8" t="str">
        <f aca="false">IF($A279="","",IF(ISNUMBER(MATCH($C279,Profiles!$A$2:$A$100,0)),$C279,DefaultProfile))</f>
        <v/>
      </c>
      <c r="N279" s="20" t="str">
        <f aca="false">IF($A279="","",INDEX(Profiles!$D$2:$D$100,MATCH($M279,Profiles!$A$2:$A$100,0)))</f>
        <v/>
      </c>
      <c r="O279" s="20" t="str">
        <f aca="false">IF($A279="","",INDEX(Profiles!$E$2:$E$100,MATCH($M279,Profiles!$A$2:$A$100,0)))</f>
        <v/>
      </c>
      <c r="P279" s="21" t="str">
        <f aca="false">IF($L279&lt;&gt;"Planned","",$K279*$D279*$N279*(1+$O279))</f>
        <v/>
      </c>
      <c r="Q279" s="21" t="str">
        <f aca="false">IF($L279&lt;&gt;"Planned","",$K279*$D279)</f>
        <v/>
      </c>
      <c r="R279" s="21" t="str">
        <f aca="false">IF($L279&lt;&gt;"Planned","",MAX(N($E279),$K279*$D279*$N279,$K279*N($G279)))</f>
        <v/>
      </c>
      <c r="S279" s="21" t="str">
        <f aca="false">IF($L279&lt;&gt;"Planned","",$P279)</f>
        <v/>
      </c>
      <c r="T279" s="21" t="str">
        <f aca="false">IF($L279&lt;&gt;"Planned","",$P279+$Q279)</f>
        <v/>
      </c>
      <c r="U279" s="21" t="str">
        <f aca="false">IF($L279&lt;&gt;"Planned","",$T279+$R279)</f>
        <v/>
      </c>
      <c r="V279" s="8" t="str">
        <f aca="false">IF($A279="","",SUMIFS('Open supply'!$C:$C,'Open supply'!$A:$A,$AF279))</f>
        <v/>
      </c>
      <c r="W279" s="8" t="str">
        <f aca="false">IF($A279="","",SUMIFS('Open supply'!$C:$C,'Open supply'!$A:$A,$AF279,'Open supply'!$B:$B,"&lt;"&amp;PlanDate))</f>
        <v/>
      </c>
      <c r="X279" s="8" t="str">
        <f aca="false">IF($A279="","",SUMIFS('Open demand'!$G:$G,'Open demand'!$A:$A,$AF279))</f>
        <v/>
      </c>
      <c r="Y279" s="8" t="str">
        <f aca="false">IF($L279&lt;&gt;"Planned","",N($H279)+$V279-$X279)</f>
        <v/>
      </c>
      <c r="Z279" s="19" t="str">
        <f aca="false">IF($L279&lt;&gt;"Planned","",IF($Y279&lt;=$S279,"Red",IF($Y279&lt;=$T279,"Yellow",IF($Y279&lt;=$U279,"Green","Above green"))))</f>
        <v/>
      </c>
      <c r="AA279" s="22" t="str">
        <f aca="false">IF(OR($L279&lt;&gt;"Planned",N($U279)&lt;=0),"",$Y279/$U279)</f>
        <v/>
      </c>
      <c r="AB279" s="8" t="str">
        <f aca="false">IF($L279&lt;&gt;"Planned","",IF($Y279&lt;=$T279,ROUNDUP(MAX($U279-$Y279,N($E279))/IF(N($F279)&gt;0,$F279,1)-0.000000001,0)*IF(N($F279)&gt;0,$F279,1),""))</f>
        <v/>
      </c>
      <c r="AC279" s="23" t="str">
        <f aca="false">IF(N($AB279)&gt;0,PlanDate+ROUNDUP($D279,0),"")</f>
        <v/>
      </c>
      <c r="AD279" s="19" t="str">
        <f aca="false">IF($L279&lt;&gt;"Planned","",IF(N($H279)&lt;=0,"Stockout",IF(N($H279)&lt;$S279*0.5,"Critical",IF(N($H279)&lt;=$S279,"Low",IF(N($H279)&gt;$U279,"Over top of green","OK")))))</f>
        <v/>
      </c>
      <c r="AE279" s="8" t="str">
        <f aca="false">IF($A279="","",$A279&amp;"")</f>
        <v/>
      </c>
      <c r="AF279" s="8" t="str">
        <f aca="false">IF($A279="","",SUBSTITUTE(SUBSTITUTE(SUBSTITUTE($A279&amp;"","~","~~"),"*","~*"),"?","~?"))</f>
        <v/>
      </c>
    </row>
    <row r="280" customFormat="false" ht="15" hidden="false" customHeight="false" outlineLevel="0" collapsed="false">
      <c r="A280" s="11"/>
      <c r="B280" s="11"/>
      <c r="C280" s="11"/>
      <c r="D280" s="16"/>
      <c r="E280" s="11"/>
      <c r="F280" s="11"/>
      <c r="G280" s="9"/>
      <c r="H280" s="11"/>
      <c r="I280" s="17"/>
      <c r="J280" s="18" t="str">
        <f aca="false">IF($A280="","",IF(COUNT(Usage!$C:$C)=0,"",MAX(0,SUMIFS(Usage!$C:$C,Usage!$A:$A,$AF280,Usage!$B:$B,"&gt;="&amp;(PlanDate-AduWindow),Usage!$B:$B,"&lt;"&amp;PlanDate))/AduWindow))</f>
        <v/>
      </c>
      <c r="K280" s="18" t="str">
        <f aca="false">IF($A280="","",IF(AND(ISNUMBER($I280),N($I280)&gt;=0),$I280,$J280))</f>
        <v/>
      </c>
      <c r="L280" s="19" t="str">
        <f aca="false">IF($A280="","",IF($K280="","Needs ADU",IF($K280&lt;=0,"No recent demand",IF(N($D280)&lt;=0,"Needs lead time","Planned"))))</f>
        <v/>
      </c>
      <c r="M280" s="8" t="str">
        <f aca="false">IF($A280="","",IF(ISNUMBER(MATCH($C280,Profiles!$A$2:$A$100,0)),$C280,DefaultProfile))</f>
        <v/>
      </c>
      <c r="N280" s="20" t="str">
        <f aca="false">IF($A280="","",INDEX(Profiles!$D$2:$D$100,MATCH($M280,Profiles!$A$2:$A$100,0)))</f>
        <v/>
      </c>
      <c r="O280" s="20" t="str">
        <f aca="false">IF($A280="","",INDEX(Profiles!$E$2:$E$100,MATCH($M280,Profiles!$A$2:$A$100,0)))</f>
        <v/>
      </c>
      <c r="P280" s="21" t="str">
        <f aca="false">IF($L280&lt;&gt;"Planned","",$K280*$D280*$N280*(1+$O280))</f>
        <v/>
      </c>
      <c r="Q280" s="21" t="str">
        <f aca="false">IF($L280&lt;&gt;"Planned","",$K280*$D280)</f>
        <v/>
      </c>
      <c r="R280" s="21" t="str">
        <f aca="false">IF($L280&lt;&gt;"Planned","",MAX(N($E280),$K280*$D280*$N280,$K280*N($G280)))</f>
        <v/>
      </c>
      <c r="S280" s="21" t="str">
        <f aca="false">IF($L280&lt;&gt;"Planned","",$P280)</f>
        <v/>
      </c>
      <c r="T280" s="21" t="str">
        <f aca="false">IF($L280&lt;&gt;"Planned","",$P280+$Q280)</f>
        <v/>
      </c>
      <c r="U280" s="21" t="str">
        <f aca="false">IF($L280&lt;&gt;"Planned","",$T280+$R280)</f>
        <v/>
      </c>
      <c r="V280" s="8" t="str">
        <f aca="false">IF($A280="","",SUMIFS('Open supply'!$C:$C,'Open supply'!$A:$A,$AF280))</f>
        <v/>
      </c>
      <c r="W280" s="8" t="str">
        <f aca="false">IF($A280="","",SUMIFS('Open supply'!$C:$C,'Open supply'!$A:$A,$AF280,'Open supply'!$B:$B,"&lt;"&amp;PlanDate))</f>
        <v/>
      </c>
      <c r="X280" s="8" t="str">
        <f aca="false">IF($A280="","",SUMIFS('Open demand'!$G:$G,'Open demand'!$A:$A,$AF280))</f>
        <v/>
      </c>
      <c r="Y280" s="8" t="str">
        <f aca="false">IF($L280&lt;&gt;"Planned","",N($H280)+$V280-$X280)</f>
        <v/>
      </c>
      <c r="Z280" s="19" t="str">
        <f aca="false">IF($L280&lt;&gt;"Planned","",IF($Y280&lt;=$S280,"Red",IF($Y280&lt;=$T280,"Yellow",IF($Y280&lt;=$U280,"Green","Above green"))))</f>
        <v/>
      </c>
      <c r="AA280" s="22" t="str">
        <f aca="false">IF(OR($L280&lt;&gt;"Planned",N($U280)&lt;=0),"",$Y280/$U280)</f>
        <v/>
      </c>
      <c r="AB280" s="8" t="str">
        <f aca="false">IF($L280&lt;&gt;"Planned","",IF($Y280&lt;=$T280,ROUNDUP(MAX($U280-$Y280,N($E280))/IF(N($F280)&gt;0,$F280,1)-0.000000001,0)*IF(N($F280)&gt;0,$F280,1),""))</f>
        <v/>
      </c>
      <c r="AC280" s="23" t="str">
        <f aca="false">IF(N($AB280)&gt;0,PlanDate+ROUNDUP($D280,0),"")</f>
        <v/>
      </c>
      <c r="AD280" s="19" t="str">
        <f aca="false">IF($L280&lt;&gt;"Planned","",IF(N($H280)&lt;=0,"Stockout",IF(N($H280)&lt;$S280*0.5,"Critical",IF(N($H280)&lt;=$S280,"Low",IF(N($H280)&gt;$U280,"Over top of green","OK")))))</f>
        <v/>
      </c>
      <c r="AE280" s="8" t="str">
        <f aca="false">IF($A280="","",$A280&amp;"")</f>
        <v/>
      </c>
      <c r="AF280" s="8" t="str">
        <f aca="false">IF($A280="","",SUBSTITUTE(SUBSTITUTE(SUBSTITUTE($A280&amp;"","~","~~"),"*","~*"),"?","~?"))</f>
        <v/>
      </c>
    </row>
    <row r="281" customFormat="false" ht="15" hidden="false" customHeight="false" outlineLevel="0" collapsed="false">
      <c r="A281" s="11"/>
      <c r="B281" s="11"/>
      <c r="C281" s="11"/>
      <c r="D281" s="16"/>
      <c r="E281" s="11"/>
      <c r="F281" s="11"/>
      <c r="G281" s="9"/>
      <c r="H281" s="11"/>
      <c r="I281" s="17"/>
      <c r="J281" s="18" t="str">
        <f aca="false">IF($A281="","",IF(COUNT(Usage!$C:$C)=0,"",MAX(0,SUMIFS(Usage!$C:$C,Usage!$A:$A,$AF281,Usage!$B:$B,"&gt;="&amp;(PlanDate-AduWindow),Usage!$B:$B,"&lt;"&amp;PlanDate))/AduWindow))</f>
        <v/>
      </c>
      <c r="K281" s="18" t="str">
        <f aca="false">IF($A281="","",IF(AND(ISNUMBER($I281),N($I281)&gt;=0),$I281,$J281))</f>
        <v/>
      </c>
      <c r="L281" s="19" t="str">
        <f aca="false">IF($A281="","",IF($K281="","Needs ADU",IF($K281&lt;=0,"No recent demand",IF(N($D281)&lt;=0,"Needs lead time","Planned"))))</f>
        <v/>
      </c>
      <c r="M281" s="8" t="str">
        <f aca="false">IF($A281="","",IF(ISNUMBER(MATCH($C281,Profiles!$A$2:$A$100,0)),$C281,DefaultProfile))</f>
        <v/>
      </c>
      <c r="N281" s="20" t="str">
        <f aca="false">IF($A281="","",INDEX(Profiles!$D$2:$D$100,MATCH($M281,Profiles!$A$2:$A$100,0)))</f>
        <v/>
      </c>
      <c r="O281" s="20" t="str">
        <f aca="false">IF($A281="","",INDEX(Profiles!$E$2:$E$100,MATCH($M281,Profiles!$A$2:$A$100,0)))</f>
        <v/>
      </c>
      <c r="P281" s="21" t="str">
        <f aca="false">IF($L281&lt;&gt;"Planned","",$K281*$D281*$N281*(1+$O281))</f>
        <v/>
      </c>
      <c r="Q281" s="21" t="str">
        <f aca="false">IF($L281&lt;&gt;"Planned","",$K281*$D281)</f>
        <v/>
      </c>
      <c r="R281" s="21" t="str">
        <f aca="false">IF($L281&lt;&gt;"Planned","",MAX(N($E281),$K281*$D281*$N281,$K281*N($G281)))</f>
        <v/>
      </c>
      <c r="S281" s="21" t="str">
        <f aca="false">IF($L281&lt;&gt;"Planned","",$P281)</f>
        <v/>
      </c>
      <c r="T281" s="21" t="str">
        <f aca="false">IF($L281&lt;&gt;"Planned","",$P281+$Q281)</f>
        <v/>
      </c>
      <c r="U281" s="21" t="str">
        <f aca="false">IF($L281&lt;&gt;"Planned","",$T281+$R281)</f>
        <v/>
      </c>
      <c r="V281" s="8" t="str">
        <f aca="false">IF($A281="","",SUMIFS('Open supply'!$C:$C,'Open supply'!$A:$A,$AF281))</f>
        <v/>
      </c>
      <c r="W281" s="8" t="str">
        <f aca="false">IF($A281="","",SUMIFS('Open supply'!$C:$C,'Open supply'!$A:$A,$AF281,'Open supply'!$B:$B,"&lt;"&amp;PlanDate))</f>
        <v/>
      </c>
      <c r="X281" s="8" t="str">
        <f aca="false">IF($A281="","",SUMIFS('Open demand'!$G:$G,'Open demand'!$A:$A,$AF281))</f>
        <v/>
      </c>
      <c r="Y281" s="8" t="str">
        <f aca="false">IF($L281&lt;&gt;"Planned","",N($H281)+$V281-$X281)</f>
        <v/>
      </c>
      <c r="Z281" s="19" t="str">
        <f aca="false">IF($L281&lt;&gt;"Planned","",IF($Y281&lt;=$S281,"Red",IF($Y281&lt;=$T281,"Yellow",IF($Y281&lt;=$U281,"Green","Above green"))))</f>
        <v/>
      </c>
      <c r="AA281" s="22" t="str">
        <f aca="false">IF(OR($L281&lt;&gt;"Planned",N($U281)&lt;=0),"",$Y281/$U281)</f>
        <v/>
      </c>
      <c r="AB281" s="8" t="str">
        <f aca="false">IF($L281&lt;&gt;"Planned","",IF($Y281&lt;=$T281,ROUNDUP(MAX($U281-$Y281,N($E281))/IF(N($F281)&gt;0,$F281,1)-0.000000001,0)*IF(N($F281)&gt;0,$F281,1),""))</f>
        <v/>
      </c>
      <c r="AC281" s="23" t="str">
        <f aca="false">IF(N($AB281)&gt;0,PlanDate+ROUNDUP($D281,0),"")</f>
        <v/>
      </c>
      <c r="AD281" s="19" t="str">
        <f aca="false">IF($L281&lt;&gt;"Planned","",IF(N($H281)&lt;=0,"Stockout",IF(N($H281)&lt;$S281*0.5,"Critical",IF(N($H281)&lt;=$S281,"Low",IF(N($H281)&gt;$U281,"Over top of green","OK")))))</f>
        <v/>
      </c>
      <c r="AE281" s="8" t="str">
        <f aca="false">IF($A281="","",$A281&amp;"")</f>
        <v/>
      </c>
      <c r="AF281" s="8" t="str">
        <f aca="false">IF($A281="","",SUBSTITUTE(SUBSTITUTE(SUBSTITUTE($A281&amp;"","~","~~"),"*","~*"),"?","~?"))</f>
        <v/>
      </c>
    </row>
    <row r="282" customFormat="false" ht="15" hidden="false" customHeight="false" outlineLevel="0" collapsed="false">
      <c r="A282" s="11"/>
      <c r="B282" s="11"/>
      <c r="C282" s="11"/>
      <c r="D282" s="16"/>
      <c r="E282" s="11"/>
      <c r="F282" s="11"/>
      <c r="G282" s="9"/>
      <c r="H282" s="11"/>
      <c r="I282" s="17"/>
      <c r="J282" s="18" t="str">
        <f aca="false">IF($A282="","",IF(COUNT(Usage!$C:$C)=0,"",MAX(0,SUMIFS(Usage!$C:$C,Usage!$A:$A,$AF282,Usage!$B:$B,"&gt;="&amp;(PlanDate-AduWindow),Usage!$B:$B,"&lt;"&amp;PlanDate))/AduWindow))</f>
        <v/>
      </c>
      <c r="K282" s="18" t="str">
        <f aca="false">IF($A282="","",IF(AND(ISNUMBER($I282),N($I282)&gt;=0),$I282,$J282))</f>
        <v/>
      </c>
      <c r="L282" s="19" t="str">
        <f aca="false">IF($A282="","",IF($K282="","Needs ADU",IF($K282&lt;=0,"No recent demand",IF(N($D282)&lt;=0,"Needs lead time","Planned"))))</f>
        <v/>
      </c>
      <c r="M282" s="8" t="str">
        <f aca="false">IF($A282="","",IF(ISNUMBER(MATCH($C282,Profiles!$A$2:$A$100,0)),$C282,DefaultProfile))</f>
        <v/>
      </c>
      <c r="N282" s="20" t="str">
        <f aca="false">IF($A282="","",INDEX(Profiles!$D$2:$D$100,MATCH($M282,Profiles!$A$2:$A$100,0)))</f>
        <v/>
      </c>
      <c r="O282" s="20" t="str">
        <f aca="false">IF($A282="","",INDEX(Profiles!$E$2:$E$100,MATCH($M282,Profiles!$A$2:$A$100,0)))</f>
        <v/>
      </c>
      <c r="P282" s="21" t="str">
        <f aca="false">IF($L282&lt;&gt;"Planned","",$K282*$D282*$N282*(1+$O282))</f>
        <v/>
      </c>
      <c r="Q282" s="21" t="str">
        <f aca="false">IF($L282&lt;&gt;"Planned","",$K282*$D282)</f>
        <v/>
      </c>
      <c r="R282" s="21" t="str">
        <f aca="false">IF($L282&lt;&gt;"Planned","",MAX(N($E282),$K282*$D282*$N282,$K282*N($G282)))</f>
        <v/>
      </c>
      <c r="S282" s="21" t="str">
        <f aca="false">IF($L282&lt;&gt;"Planned","",$P282)</f>
        <v/>
      </c>
      <c r="T282" s="21" t="str">
        <f aca="false">IF($L282&lt;&gt;"Planned","",$P282+$Q282)</f>
        <v/>
      </c>
      <c r="U282" s="21" t="str">
        <f aca="false">IF($L282&lt;&gt;"Planned","",$T282+$R282)</f>
        <v/>
      </c>
      <c r="V282" s="8" t="str">
        <f aca="false">IF($A282="","",SUMIFS('Open supply'!$C:$C,'Open supply'!$A:$A,$AF282))</f>
        <v/>
      </c>
      <c r="W282" s="8" t="str">
        <f aca="false">IF($A282="","",SUMIFS('Open supply'!$C:$C,'Open supply'!$A:$A,$AF282,'Open supply'!$B:$B,"&lt;"&amp;PlanDate))</f>
        <v/>
      </c>
      <c r="X282" s="8" t="str">
        <f aca="false">IF($A282="","",SUMIFS('Open demand'!$G:$G,'Open demand'!$A:$A,$AF282))</f>
        <v/>
      </c>
      <c r="Y282" s="8" t="str">
        <f aca="false">IF($L282&lt;&gt;"Planned","",N($H282)+$V282-$X282)</f>
        <v/>
      </c>
      <c r="Z282" s="19" t="str">
        <f aca="false">IF($L282&lt;&gt;"Planned","",IF($Y282&lt;=$S282,"Red",IF($Y282&lt;=$T282,"Yellow",IF($Y282&lt;=$U282,"Green","Above green"))))</f>
        <v/>
      </c>
      <c r="AA282" s="22" t="str">
        <f aca="false">IF(OR($L282&lt;&gt;"Planned",N($U282)&lt;=0),"",$Y282/$U282)</f>
        <v/>
      </c>
      <c r="AB282" s="8" t="str">
        <f aca="false">IF($L282&lt;&gt;"Planned","",IF($Y282&lt;=$T282,ROUNDUP(MAX($U282-$Y282,N($E282))/IF(N($F282)&gt;0,$F282,1)-0.000000001,0)*IF(N($F282)&gt;0,$F282,1),""))</f>
        <v/>
      </c>
      <c r="AC282" s="23" t="str">
        <f aca="false">IF(N($AB282)&gt;0,PlanDate+ROUNDUP($D282,0),"")</f>
        <v/>
      </c>
      <c r="AD282" s="19" t="str">
        <f aca="false">IF($L282&lt;&gt;"Planned","",IF(N($H282)&lt;=0,"Stockout",IF(N($H282)&lt;$S282*0.5,"Critical",IF(N($H282)&lt;=$S282,"Low",IF(N($H282)&gt;$U282,"Over top of green","OK")))))</f>
        <v/>
      </c>
      <c r="AE282" s="8" t="str">
        <f aca="false">IF($A282="","",$A282&amp;"")</f>
        <v/>
      </c>
      <c r="AF282" s="8" t="str">
        <f aca="false">IF($A282="","",SUBSTITUTE(SUBSTITUTE(SUBSTITUTE($A282&amp;"","~","~~"),"*","~*"),"?","~?"))</f>
        <v/>
      </c>
    </row>
    <row r="283" customFormat="false" ht="15" hidden="false" customHeight="false" outlineLevel="0" collapsed="false">
      <c r="A283" s="11"/>
      <c r="B283" s="11"/>
      <c r="C283" s="11"/>
      <c r="D283" s="16"/>
      <c r="E283" s="11"/>
      <c r="F283" s="11"/>
      <c r="G283" s="9"/>
      <c r="H283" s="11"/>
      <c r="I283" s="17"/>
      <c r="J283" s="18" t="str">
        <f aca="false">IF($A283="","",IF(COUNT(Usage!$C:$C)=0,"",MAX(0,SUMIFS(Usage!$C:$C,Usage!$A:$A,$AF283,Usage!$B:$B,"&gt;="&amp;(PlanDate-AduWindow),Usage!$B:$B,"&lt;"&amp;PlanDate))/AduWindow))</f>
        <v/>
      </c>
      <c r="K283" s="18" t="str">
        <f aca="false">IF($A283="","",IF(AND(ISNUMBER($I283),N($I283)&gt;=0),$I283,$J283))</f>
        <v/>
      </c>
      <c r="L283" s="19" t="str">
        <f aca="false">IF($A283="","",IF($K283="","Needs ADU",IF($K283&lt;=0,"No recent demand",IF(N($D283)&lt;=0,"Needs lead time","Planned"))))</f>
        <v/>
      </c>
      <c r="M283" s="8" t="str">
        <f aca="false">IF($A283="","",IF(ISNUMBER(MATCH($C283,Profiles!$A$2:$A$100,0)),$C283,DefaultProfile))</f>
        <v/>
      </c>
      <c r="N283" s="20" t="str">
        <f aca="false">IF($A283="","",INDEX(Profiles!$D$2:$D$100,MATCH($M283,Profiles!$A$2:$A$100,0)))</f>
        <v/>
      </c>
      <c r="O283" s="20" t="str">
        <f aca="false">IF($A283="","",INDEX(Profiles!$E$2:$E$100,MATCH($M283,Profiles!$A$2:$A$100,0)))</f>
        <v/>
      </c>
      <c r="P283" s="21" t="str">
        <f aca="false">IF($L283&lt;&gt;"Planned","",$K283*$D283*$N283*(1+$O283))</f>
        <v/>
      </c>
      <c r="Q283" s="21" t="str">
        <f aca="false">IF($L283&lt;&gt;"Planned","",$K283*$D283)</f>
        <v/>
      </c>
      <c r="R283" s="21" t="str">
        <f aca="false">IF($L283&lt;&gt;"Planned","",MAX(N($E283),$K283*$D283*$N283,$K283*N($G283)))</f>
        <v/>
      </c>
      <c r="S283" s="21" t="str">
        <f aca="false">IF($L283&lt;&gt;"Planned","",$P283)</f>
        <v/>
      </c>
      <c r="T283" s="21" t="str">
        <f aca="false">IF($L283&lt;&gt;"Planned","",$P283+$Q283)</f>
        <v/>
      </c>
      <c r="U283" s="21" t="str">
        <f aca="false">IF($L283&lt;&gt;"Planned","",$T283+$R283)</f>
        <v/>
      </c>
      <c r="V283" s="8" t="str">
        <f aca="false">IF($A283="","",SUMIFS('Open supply'!$C:$C,'Open supply'!$A:$A,$AF283))</f>
        <v/>
      </c>
      <c r="W283" s="8" t="str">
        <f aca="false">IF($A283="","",SUMIFS('Open supply'!$C:$C,'Open supply'!$A:$A,$AF283,'Open supply'!$B:$B,"&lt;"&amp;PlanDate))</f>
        <v/>
      </c>
      <c r="X283" s="8" t="str">
        <f aca="false">IF($A283="","",SUMIFS('Open demand'!$G:$G,'Open demand'!$A:$A,$AF283))</f>
        <v/>
      </c>
      <c r="Y283" s="8" t="str">
        <f aca="false">IF($L283&lt;&gt;"Planned","",N($H283)+$V283-$X283)</f>
        <v/>
      </c>
      <c r="Z283" s="19" t="str">
        <f aca="false">IF($L283&lt;&gt;"Planned","",IF($Y283&lt;=$S283,"Red",IF($Y283&lt;=$T283,"Yellow",IF($Y283&lt;=$U283,"Green","Above green"))))</f>
        <v/>
      </c>
      <c r="AA283" s="22" t="str">
        <f aca="false">IF(OR($L283&lt;&gt;"Planned",N($U283)&lt;=0),"",$Y283/$U283)</f>
        <v/>
      </c>
      <c r="AB283" s="8" t="str">
        <f aca="false">IF($L283&lt;&gt;"Planned","",IF($Y283&lt;=$T283,ROUNDUP(MAX($U283-$Y283,N($E283))/IF(N($F283)&gt;0,$F283,1)-0.000000001,0)*IF(N($F283)&gt;0,$F283,1),""))</f>
        <v/>
      </c>
      <c r="AC283" s="23" t="str">
        <f aca="false">IF(N($AB283)&gt;0,PlanDate+ROUNDUP($D283,0),"")</f>
        <v/>
      </c>
      <c r="AD283" s="19" t="str">
        <f aca="false">IF($L283&lt;&gt;"Planned","",IF(N($H283)&lt;=0,"Stockout",IF(N($H283)&lt;$S283*0.5,"Critical",IF(N($H283)&lt;=$S283,"Low",IF(N($H283)&gt;$U283,"Over top of green","OK")))))</f>
        <v/>
      </c>
      <c r="AE283" s="8" t="str">
        <f aca="false">IF($A283="","",$A283&amp;"")</f>
        <v/>
      </c>
      <c r="AF283" s="8" t="str">
        <f aca="false">IF($A283="","",SUBSTITUTE(SUBSTITUTE(SUBSTITUTE($A283&amp;"","~","~~"),"*","~*"),"?","~?"))</f>
        <v/>
      </c>
    </row>
    <row r="284" customFormat="false" ht="15" hidden="false" customHeight="false" outlineLevel="0" collapsed="false">
      <c r="A284" s="11"/>
      <c r="B284" s="11"/>
      <c r="C284" s="11"/>
      <c r="D284" s="16"/>
      <c r="E284" s="11"/>
      <c r="F284" s="11"/>
      <c r="G284" s="9"/>
      <c r="H284" s="11"/>
      <c r="I284" s="17"/>
      <c r="J284" s="18" t="str">
        <f aca="false">IF($A284="","",IF(COUNT(Usage!$C:$C)=0,"",MAX(0,SUMIFS(Usage!$C:$C,Usage!$A:$A,$AF284,Usage!$B:$B,"&gt;="&amp;(PlanDate-AduWindow),Usage!$B:$B,"&lt;"&amp;PlanDate))/AduWindow))</f>
        <v/>
      </c>
      <c r="K284" s="18" t="str">
        <f aca="false">IF($A284="","",IF(AND(ISNUMBER($I284),N($I284)&gt;=0),$I284,$J284))</f>
        <v/>
      </c>
      <c r="L284" s="19" t="str">
        <f aca="false">IF($A284="","",IF($K284="","Needs ADU",IF($K284&lt;=0,"No recent demand",IF(N($D284)&lt;=0,"Needs lead time","Planned"))))</f>
        <v/>
      </c>
      <c r="M284" s="8" t="str">
        <f aca="false">IF($A284="","",IF(ISNUMBER(MATCH($C284,Profiles!$A$2:$A$100,0)),$C284,DefaultProfile))</f>
        <v/>
      </c>
      <c r="N284" s="20" t="str">
        <f aca="false">IF($A284="","",INDEX(Profiles!$D$2:$D$100,MATCH($M284,Profiles!$A$2:$A$100,0)))</f>
        <v/>
      </c>
      <c r="O284" s="20" t="str">
        <f aca="false">IF($A284="","",INDEX(Profiles!$E$2:$E$100,MATCH($M284,Profiles!$A$2:$A$100,0)))</f>
        <v/>
      </c>
      <c r="P284" s="21" t="str">
        <f aca="false">IF($L284&lt;&gt;"Planned","",$K284*$D284*$N284*(1+$O284))</f>
        <v/>
      </c>
      <c r="Q284" s="21" t="str">
        <f aca="false">IF($L284&lt;&gt;"Planned","",$K284*$D284)</f>
        <v/>
      </c>
      <c r="R284" s="21" t="str">
        <f aca="false">IF($L284&lt;&gt;"Planned","",MAX(N($E284),$K284*$D284*$N284,$K284*N($G284)))</f>
        <v/>
      </c>
      <c r="S284" s="21" t="str">
        <f aca="false">IF($L284&lt;&gt;"Planned","",$P284)</f>
        <v/>
      </c>
      <c r="T284" s="21" t="str">
        <f aca="false">IF($L284&lt;&gt;"Planned","",$P284+$Q284)</f>
        <v/>
      </c>
      <c r="U284" s="21" t="str">
        <f aca="false">IF($L284&lt;&gt;"Planned","",$T284+$R284)</f>
        <v/>
      </c>
      <c r="V284" s="8" t="str">
        <f aca="false">IF($A284="","",SUMIFS('Open supply'!$C:$C,'Open supply'!$A:$A,$AF284))</f>
        <v/>
      </c>
      <c r="W284" s="8" t="str">
        <f aca="false">IF($A284="","",SUMIFS('Open supply'!$C:$C,'Open supply'!$A:$A,$AF284,'Open supply'!$B:$B,"&lt;"&amp;PlanDate))</f>
        <v/>
      </c>
      <c r="X284" s="8" t="str">
        <f aca="false">IF($A284="","",SUMIFS('Open demand'!$G:$G,'Open demand'!$A:$A,$AF284))</f>
        <v/>
      </c>
      <c r="Y284" s="8" t="str">
        <f aca="false">IF($L284&lt;&gt;"Planned","",N($H284)+$V284-$X284)</f>
        <v/>
      </c>
      <c r="Z284" s="19" t="str">
        <f aca="false">IF($L284&lt;&gt;"Planned","",IF($Y284&lt;=$S284,"Red",IF($Y284&lt;=$T284,"Yellow",IF($Y284&lt;=$U284,"Green","Above green"))))</f>
        <v/>
      </c>
      <c r="AA284" s="22" t="str">
        <f aca="false">IF(OR($L284&lt;&gt;"Planned",N($U284)&lt;=0),"",$Y284/$U284)</f>
        <v/>
      </c>
      <c r="AB284" s="8" t="str">
        <f aca="false">IF($L284&lt;&gt;"Planned","",IF($Y284&lt;=$T284,ROUNDUP(MAX($U284-$Y284,N($E284))/IF(N($F284)&gt;0,$F284,1)-0.000000001,0)*IF(N($F284)&gt;0,$F284,1),""))</f>
        <v/>
      </c>
      <c r="AC284" s="23" t="str">
        <f aca="false">IF(N($AB284)&gt;0,PlanDate+ROUNDUP($D284,0),"")</f>
        <v/>
      </c>
      <c r="AD284" s="19" t="str">
        <f aca="false">IF($L284&lt;&gt;"Planned","",IF(N($H284)&lt;=0,"Stockout",IF(N($H284)&lt;$S284*0.5,"Critical",IF(N($H284)&lt;=$S284,"Low",IF(N($H284)&gt;$U284,"Over top of green","OK")))))</f>
        <v/>
      </c>
      <c r="AE284" s="8" t="str">
        <f aca="false">IF($A284="","",$A284&amp;"")</f>
        <v/>
      </c>
      <c r="AF284" s="8" t="str">
        <f aca="false">IF($A284="","",SUBSTITUTE(SUBSTITUTE(SUBSTITUTE($A284&amp;"","~","~~"),"*","~*"),"?","~?"))</f>
        <v/>
      </c>
    </row>
    <row r="285" customFormat="false" ht="15" hidden="false" customHeight="false" outlineLevel="0" collapsed="false">
      <c r="A285" s="11"/>
      <c r="B285" s="11"/>
      <c r="C285" s="11"/>
      <c r="D285" s="16"/>
      <c r="E285" s="11"/>
      <c r="F285" s="11"/>
      <c r="G285" s="9"/>
      <c r="H285" s="11"/>
      <c r="I285" s="17"/>
      <c r="J285" s="18" t="str">
        <f aca="false">IF($A285="","",IF(COUNT(Usage!$C:$C)=0,"",MAX(0,SUMIFS(Usage!$C:$C,Usage!$A:$A,$AF285,Usage!$B:$B,"&gt;="&amp;(PlanDate-AduWindow),Usage!$B:$B,"&lt;"&amp;PlanDate))/AduWindow))</f>
        <v/>
      </c>
      <c r="K285" s="18" t="str">
        <f aca="false">IF($A285="","",IF(AND(ISNUMBER($I285),N($I285)&gt;=0),$I285,$J285))</f>
        <v/>
      </c>
      <c r="L285" s="19" t="str">
        <f aca="false">IF($A285="","",IF($K285="","Needs ADU",IF($K285&lt;=0,"No recent demand",IF(N($D285)&lt;=0,"Needs lead time","Planned"))))</f>
        <v/>
      </c>
      <c r="M285" s="8" t="str">
        <f aca="false">IF($A285="","",IF(ISNUMBER(MATCH($C285,Profiles!$A$2:$A$100,0)),$C285,DefaultProfile))</f>
        <v/>
      </c>
      <c r="N285" s="20" t="str">
        <f aca="false">IF($A285="","",INDEX(Profiles!$D$2:$D$100,MATCH($M285,Profiles!$A$2:$A$100,0)))</f>
        <v/>
      </c>
      <c r="O285" s="20" t="str">
        <f aca="false">IF($A285="","",INDEX(Profiles!$E$2:$E$100,MATCH($M285,Profiles!$A$2:$A$100,0)))</f>
        <v/>
      </c>
      <c r="P285" s="21" t="str">
        <f aca="false">IF($L285&lt;&gt;"Planned","",$K285*$D285*$N285*(1+$O285))</f>
        <v/>
      </c>
      <c r="Q285" s="21" t="str">
        <f aca="false">IF($L285&lt;&gt;"Planned","",$K285*$D285)</f>
        <v/>
      </c>
      <c r="R285" s="21" t="str">
        <f aca="false">IF($L285&lt;&gt;"Planned","",MAX(N($E285),$K285*$D285*$N285,$K285*N($G285)))</f>
        <v/>
      </c>
      <c r="S285" s="21" t="str">
        <f aca="false">IF($L285&lt;&gt;"Planned","",$P285)</f>
        <v/>
      </c>
      <c r="T285" s="21" t="str">
        <f aca="false">IF($L285&lt;&gt;"Planned","",$P285+$Q285)</f>
        <v/>
      </c>
      <c r="U285" s="21" t="str">
        <f aca="false">IF($L285&lt;&gt;"Planned","",$T285+$R285)</f>
        <v/>
      </c>
      <c r="V285" s="8" t="str">
        <f aca="false">IF($A285="","",SUMIFS('Open supply'!$C:$C,'Open supply'!$A:$A,$AF285))</f>
        <v/>
      </c>
      <c r="W285" s="8" t="str">
        <f aca="false">IF($A285="","",SUMIFS('Open supply'!$C:$C,'Open supply'!$A:$A,$AF285,'Open supply'!$B:$B,"&lt;"&amp;PlanDate))</f>
        <v/>
      </c>
      <c r="X285" s="8" t="str">
        <f aca="false">IF($A285="","",SUMIFS('Open demand'!$G:$G,'Open demand'!$A:$A,$AF285))</f>
        <v/>
      </c>
      <c r="Y285" s="8" t="str">
        <f aca="false">IF($L285&lt;&gt;"Planned","",N($H285)+$V285-$X285)</f>
        <v/>
      </c>
      <c r="Z285" s="19" t="str">
        <f aca="false">IF($L285&lt;&gt;"Planned","",IF($Y285&lt;=$S285,"Red",IF($Y285&lt;=$T285,"Yellow",IF($Y285&lt;=$U285,"Green","Above green"))))</f>
        <v/>
      </c>
      <c r="AA285" s="22" t="str">
        <f aca="false">IF(OR($L285&lt;&gt;"Planned",N($U285)&lt;=0),"",$Y285/$U285)</f>
        <v/>
      </c>
      <c r="AB285" s="8" t="str">
        <f aca="false">IF($L285&lt;&gt;"Planned","",IF($Y285&lt;=$T285,ROUNDUP(MAX($U285-$Y285,N($E285))/IF(N($F285)&gt;0,$F285,1)-0.000000001,0)*IF(N($F285)&gt;0,$F285,1),""))</f>
        <v/>
      </c>
      <c r="AC285" s="23" t="str">
        <f aca="false">IF(N($AB285)&gt;0,PlanDate+ROUNDUP($D285,0),"")</f>
        <v/>
      </c>
      <c r="AD285" s="19" t="str">
        <f aca="false">IF($L285&lt;&gt;"Planned","",IF(N($H285)&lt;=0,"Stockout",IF(N($H285)&lt;$S285*0.5,"Critical",IF(N($H285)&lt;=$S285,"Low",IF(N($H285)&gt;$U285,"Over top of green","OK")))))</f>
        <v/>
      </c>
      <c r="AE285" s="8" t="str">
        <f aca="false">IF($A285="","",$A285&amp;"")</f>
        <v/>
      </c>
      <c r="AF285" s="8" t="str">
        <f aca="false">IF($A285="","",SUBSTITUTE(SUBSTITUTE(SUBSTITUTE($A285&amp;"","~","~~"),"*","~*"),"?","~?"))</f>
        <v/>
      </c>
    </row>
    <row r="286" customFormat="false" ht="15" hidden="false" customHeight="false" outlineLevel="0" collapsed="false">
      <c r="A286" s="11"/>
      <c r="B286" s="11"/>
      <c r="C286" s="11"/>
      <c r="D286" s="16"/>
      <c r="E286" s="11"/>
      <c r="F286" s="11"/>
      <c r="G286" s="9"/>
      <c r="H286" s="11"/>
      <c r="I286" s="17"/>
      <c r="J286" s="18" t="str">
        <f aca="false">IF($A286="","",IF(COUNT(Usage!$C:$C)=0,"",MAX(0,SUMIFS(Usage!$C:$C,Usage!$A:$A,$AF286,Usage!$B:$B,"&gt;="&amp;(PlanDate-AduWindow),Usage!$B:$B,"&lt;"&amp;PlanDate))/AduWindow))</f>
        <v/>
      </c>
      <c r="K286" s="18" t="str">
        <f aca="false">IF($A286="","",IF(AND(ISNUMBER($I286),N($I286)&gt;=0),$I286,$J286))</f>
        <v/>
      </c>
      <c r="L286" s="19" t="str">
        <f aca="false">IF($A286="","",IF($K286="","Needs ADU",IF($K286&lt;=0,"No recent demand",IF(N($D286)&lt;=0,"Needs lead time","Planned"))))</f>
        <v/>
      </c>
      <c r="M286" s="8" t="str">
        <f aca="false">IF($A286="","",IF(ISNUMBER(MATCH($C286,Profiles!$A$2:$A$100,0)),$C286,DefaultProfile))</f>
        <v/>
      </c>
      <c r="N286" s="20" t="str">
        <f aca="false">IF($A286="","",INDEX(Profiles!$D$2:$D$100,MATCH($M286,Profiles!$A$2:$A$100,0)))</f>
        <v/>
      </c>
      <c r="O286" s="20" t="str">
        <f aca="false">IF($A286="","",INDEX(Profiles!$E$2:$E$100,MATCH($M286,Profiles!$A$2:$A$100,0)))</f>
        <v/>
      </c>
      <c r="P286" s="21" t="str">
        <f aca="false">IF($L286&lt;&gt;"Planned","",$K286*$D286*$N286*(1+$O286))</f>
        <v/>
      </c>
      <c r="Q286" s="21" t="str">
        <f aca="false">IF($L286&lt;&gt;"Planned","",$K286*$D286)</f>
        <v/>
      </c>
      <c r="R286" s="21" t="str">
        <f aca="false">IF($L286&lt;&gt;"Planned","",MAX(N($E286),$K286*$D286*$N286,$K286*N($G286)))</f>
        <v/>
      </c>
      <c r="S286" s="21" t="str">
        <f aca="false">IF($L286&lt;&gt;"Planned","",$P286)</f>
        <v/>
      </c>
      <c r="T286" s="21" t="str">
        <f aca="false">IF($L286&lt;&gt;"Planned","",$P286+$Q286)</f>
        <v/>
      </c>
      <c r="U286" s="21" t="str">
        <f aca="false">IF($L286&lt;&gt;"Planned","",$T286+$R286)</f>
        <v/>
      </c>
      <c r="V286" s="8" t="str">
        <f aca="false">IF($A286="","",SUMIFS('Open supply'!$C:$C,'Open supply'!$A:$A,$AF286))</f>
        <v/>
      </c>
      <c r="W286" s="8" t="str">
        <f aca="false">IF($A286="","",SUMIFS('Open supply'!$C:$C,'Open supply'!$A:$A,$AF286,'Open supply'!$B:$B,"&lt;"&amp;PlanDate))</f>
        <v/>
      </c>
      <c r="X286" s="8" t="str">
        <f aca="false">IF($A286="","",SUMIFS('Open demand'!$G:$G,'Open demand'!$A:$A,$AF286))</f>
        <v/>
      </c>
      <c r="Y286" s="8" t="str">
        <f aca="false">IF($L286&lt;&gt;"Planned","",N($H286)+$V286-$X286)</f>
        <v/>
      </c>
      <c r="Z286" s="19" t="str">
        <f aca="false">IF($L286&lt;&gt;"Planned","",IF($Y286&lt;=$S286,"Red",IF($Y286&lt;=$T286,"Yellow",IF($Y286&lt;=$U286,"Green","Above green"))))</f>
        <v/>
      </c>
      <c r="AA286" s="22" t="str">
        <f aca="false">IF(OR($L286&lt;&gt;"Planned",N($U286)&lt;=0),"",$Y286/$U286)</f>
        <v/>
      </c>
      <c r="AB286" s="8" t="str">
        <f aca="false">IF($L286&lt;&gt;"Planned","",IF($Y286&lt;=$T286,ROUNDUP(MAX($U286-$Y286,N($E286))/IF(N($F286)&gt;0,$F286,1)-0.000000001,0)*IF(N($F286)&gt;0,$F286,1),""))</f>
        <v/>
      </c>
      <c r="AC286" s="23" t="str">
        <f aca="false">IF(N($AB286)&gt;0,PlanDate+ROUNDUP($D286,0),"")</f>
        <v/>
      </c>
      <c r="AD286" s="19" t="str">
        <f aca="false">IF($L286&lt;&gt;"Planned","",IF(N($H286)&lt;=0,"Stockout",IF(N($H286)&lt;$S286*0.5,"Critical",IF(N($H286)&lt;=$S286,"Low",IF(N($H286)&gt;$U286,"Over top of green","OK")))))</f>
        <v/>
      </c>
      <c r="AE286" s="8" t="str">
        <f aca="false">IF($A286="","",$A286&amp;"")</f>
        <v/>
      </c>
      <c r="AF286" s="8" t="str">
        <f aca="false">IF($A286="","",SUBSTITUTE(SUBSTITUTE(SUBSTITUTE($A286&amp;"","~","~~"),"*","~*"),"?","~?"))</f>
        <v/>
      </c>
    </row>
    <row r="287" customFormat="false" ht="15" hidden="false" customHeight="false" outlineLevel="0" collapsed="false">
      <c r="A287" s="11"/>
      <c r="B287" s="11"/>
      <c r="C287" s="11"/>
      <c r="D287" s="16"/>
      <c r="E287" s="11"/>
      <c r="F287" s="11"/>
      <c r="G287" s="9"/>
      <c r="H287" s="11"/>
      <c r="I287" s="17"/>
      <c r="J287" s="18" t="str">
        <f aca="false">IF($A287="","",IF(COUNT(Usage!$C:$C)=0,"",MAX(0,SUMIFS(Usage!$C:$C,Usage!$A:$A,$AF287,Usage!$B:$B,"&gt;="&amp;(PlanDate-AduWindow),Usage!$B:$B,"&lt;"&amp;PlanDate))/AduWindow))</f>
        <v/>
      </c>
      <c r="K287" s="18" t="str">
        <f aca="false">IF($A287="","",IF(AND(ISNUMBER($I287),N($I287)&gt;=0),$I287,$J287))</f>
        <v/>
      </c>
      <c r="L287" s="19" t="str">
        <f aca="false">IF($A287="","",IF($K287="","Needs ADU",IF($K287&lt;=0,"No recent demand",IF(N($D287)&lt;=0,"Needs lead time","Planned"))))</f>
        <v/>
      </c>
      <c r="M287" s="8" t="str">
        <f aca="false">IF($A287="","",IF(ISNUMBER(MATCH($C287,Profiles!$A$2:$A$100,0)),$C287,DefaultProfile))</f>
        <v/>
      </c>
      <c r="N287" s="20" t="str">
        <f aca="false">IF($A287="","",INDEX(Profiles!$D$2:$D$100,MATCH($M287,Profiles!$A$2:$A$100,0)))</f>
        <v/>
      </c>
      <c r="O287" s="20" t="str">
        <f aca="false">IF($A287="","",INDEX(Profiles!$E$2:$E$100,MATCH($M287,Profiles!$A$2:$A$100,0)))</f>
        <v/>
      </c>
      <c r="P287" s="21" t="str">
        <f aca="false">IF($L287&lt;&gt;"Planned","",$K287*$D287*$N287*(1+$O287))</f>
        <v/>
      </c>
      <c r="Q287" s="21" t="str">
        <f aca="false">IF($L287&lt;&gt;"Planned","",$K287*$D287)</f>
        <v/>
      </c>
      <c r="R287" s="21" t="str">
        <f aca="false">IF($L287&lt;&gt;"Planned","",MAX(N($E287),$K287*$D287*$N287,$K287*N($G287)))</f>
        <v/>
      </c>
      <c r="S287" s="21" t="str">
        <f aca="false">IF($L287&lt;&gt;"Planned","",$P287)</f>
        <v/>
      </c>
      <c r="T287" s="21" t="str">
        <f aca="false">IF($L287&lt;&gt;"Planned","",$P287+$Q287)</f>
        <v/>
      </c>
      <c r="U287" s="21" t="str">
        <f aca="false">IF($L287&lt;&gt;"Planned","",$T287+$R287)</f>
        <v/>
      </c>
      <c r="V287" s="8" t="str">
        <f aca="false">IF($A287="","",SUMIFS('Open supply'!$C:$C,'Open supply'!$A:$A,$AF287))</f>
        <v/>
      </c>
      <c r="W287" s="8" t="str">
        <f aca="false">IF($A287="","",SUMIFS('Open supply'!$C:$C,'Open supply'!$A:$A,$AF287,'Open supply'!$B:$B,"&lt;"&amp;PlanDate))</f>
        <v/>
      </c>
      <c r="X287" s="8" t="str">
        <f aca="false">IF($A287="","",SUMIFS('Open demand'!$G:$G,'Open demand'!$A:$A,$AF287))</f>
        <v/>
      </c>
      <c r="Y287" s="8" t="str">
        <f aca="false">IF($L287&lt;&gt;"Planned","",N($H287)+$V287-$X287)</f>
        <v/>
      </c>
      <c r="Z287" s="19" t="str">
        <f aca="false">IF($L287&lt;&gt;"Planned","",IF($Y287&lt;=$S287,"Red",IF($Y287&lt;=$T287,"Yellow",IF($Y287&lt;=$U287,"Green","Above green"))))</f>
        <v/>
      </c>
      <c r="AA287" s="22" t="str">
        <f aca="false">IF(OR($L287&lt;&gt;"Planned",N($U287)&lt;=0),"",$Y287/$U287)</f>
        <v/>
      </c>
      <c r="AB287" s="8" t="str">
        <f aca="false">IF($L287&lt;&gt;"Planned","",IF($Y287&lt;=$T287,ROUNDUP(MAX($U287-$Y287,N($E287))/IF(N($F287)&gt;0,$F287,1)-0.000000001,0)*IF(N($F287)&gt;0,$F287,1),""))</f>
        <v/>
      </c>
      <c r="AC287" s="23" t="str">
        <f aca="false">IF(N($AB287)&gt;0,PlanDate+ROUNDUP($D287,0),"")</f>
        <v/>
      </c>
      <c r="AD287" s="19" t="str">
        <f aca="false">IF($L287&lt;&gt;"Planned","",IF(N($H287)&lt;=0,"Stockout",IF(N($H287)&lt;$S287*0.5,"Critical",IF(N($H287)&lt;=$S287,"Low",IF(N($H287)&gt;$U287,"Over top of green","OK")))))</f>
        <v/>
      </c>
      <c r="AE287" s="8" t="str">
        <f aca="false">IF($A287="","",$A287&amp;"")</f>
        <v/>
      </c>
      <c r="AF287" s="8" t="str">
        <f aca="false">IF($A287="","",SUBSTITUTE(SUBSTITUTE(SUBSTITUTE($A287&amp;"","~","~~"),"*","~*"),"?","~?"))</f>
        <v/>
      </c>
    </row>
    <row r="288" customFormat="false" ht="15" hidden="false" customHeight="false" outlineLevel="0" collapsed="false">
      <c r="A288" s="11"/>
      <c r="B288" s="11"/>
      <c r="C288" s="11"/>
      <c r="D288" s="16"/>
      <c r="E288" s="11"/>
      <c r="F288" s="11"/>
      <c r="G288" s="9"/>
      <c r="H288" s="11"/>
      <c r="I288" s="17"/>
      <c r="J288" s="18" t="str">
        <f aca="false">IF($A288="","",IF(COUNT(Usage!$C:$C)=0,"",MAX(0,SUMIFS(Usage!$C:$C,Usage!$A:$A,$AF288,Usage!$B:$B,"&gt;="&amp;(PlanDate-AduWindow),Usage!$B:$B,"&lt;"&amp;PlanDate))/AduWindow))</f>
        <v/>
      </c>
      <c r="K288" s="18" t="str">
        <f aca="false">IF($A288="","",IF(AND(ISNUMBER($I288),N($I288)&gt;=0),$I288,$J288))</f>
        <v/>
      </c>
      <c r="L288" s="19" t="str">
        <f aca="false">IF($A288="","",IF($K288="","Needs ADU",IF($K288&lt;=0,"No recent demand",IF(N($D288)&lt;=0,"Needs lead time","Planned"))))</f>
        <v/>
      </c>
      <c r="M288" s="8" t="str">
        <f aca="false">IF($A288="","",IF(ISNUMBER(MATCH($C288,Profiles!$A$2:$A$100,0)),$C288,DefaultProfile))</f>
        <v/>
      </c>
      <c r="N288" s="20" t="str">
        <f aca="false">IF($A288="","",INDEX(Profiles!$D$2:$D$100,MATCH($M288,Profiles!$A$2:$A$100,0)))</f>
        <v/>
      </c>
      <c r="O288" s="20" t="str">
        <f aca="false">IF($A288="","",INDEX(Profiles!$E$2:$E$100,MATCH($M288,Profiles!$A$2:$A$100,0)))</f>
        <v/>
      </c>
      <c r="P288" s="21" t="str">
        <f aca="false">IF($L288&lt;&gt;"Planned","",$K288*$D288*$N288*(1+$O288))</f>
        <v/>
      </c>
      <c r="Q288" s="21" t="str">
        <f aca="false">IF($L288&lt;&gt;"Planned","",$K288*$D288)</f>
        <v/>
      </c>
      <c r="R288" s="21" t="str">
        <f aca="false">IF($L288&lt;&gt;"Planned","",MAX(N($E288),$K288*$D288*$N288,$K288*N($G288)))</f>
        <v/>
      </c>
      <c r="S288" s="21" t="str">
        <f aca="false">IF($L288&lt;&gt;"Planned","",$P288)</f>
        <v/>
      </c>
      <c r="T288" s="21" t="str">
        <f aca="false">IF($L288&lt;&gt;"Planned","",$P288+$Q288)</f>
        <v/>
      </c>
      <c r="U288" s="21" t="str">
        <f aca="false">IF($L288&lt;&gt;"Planned","",$T288+$R288)</f>
        <v/>
      </c>
      <c r="V288" s="8" t="str">
        <f aca="false">IF($A288="","",SUMIFS('Open supply'!$C:$C,'Open supply'!$A:$A,$AF288))</f>
        <v/>
      </c>
      <c r="W288" s="8" t="str">
        <f aca="false">IF($A288="","",SUMIFS('Open supply'!$C:$C,'Open supply'!$A:$A,$AF288,'Open supply'!$B:$B,"&lt;"&amp;PlanDate))</f>
        <v/>
      </c>
      <c r="X288" s="8" t="str">
        <f aca="false">IF($A288="","",SUMIFS('Open demand'!$G:$G,'Open demand'!$A:$A,$AF288))</f>
        <v/>
      </c>
      <c r="Y288" s="8" t="str">
        <f aca="false">IF($L288&lt;&gt;"Planned","",N($H288)+$V288-$X288)</f>
        <v/>
      </c>
      <c r="Z288" s="19" t="str">
        <f aca="false">IF($L288&lt;&gt;"Planned","",IF($Y288&lt;=$S288,"Red",IF($Y288&lt;=$T288,"Yellow",IF($Y288&lt;=$U288,"Green","Above green"))))</f>
        <v/>
      </c>
      <c r="AA288" s="22" t="str">
        <f aca="false">IF(OR($L288&lt;&gt;"Planned",N($U288)&lt;=0),"",$Y288/$U288)</f>
        <v/>
      </c>
      <c r="AB288" s="8" t="str">
        <f aca="false">IF($L288&lt;&gt;"Planned","",IF($Y288&lt;=$T288,ROUNDUP(MAX($U288-$Y288,N($E288))/IF(N($F288)&gt;0,$F288,1)-0.000000001,0)*IF(N($F288)&gt;0,$F288,1),""))</f>
        <v/>
      </c>
      <c r="AC288" s="23" t="str">
        <f aca="false">IF(N($AB288)&gt;0,PlanDate+ROUNDUP($D288,0),"")</f>
        <v/>
      </c>
      <c r="AD288" s="19" t="str">
        <f aca="false">IF($L288&lt;&gt;"Planned","",IF(N($H288)&lt;=0,"Stockout",IF(N($H288)&lt;$S288*0.5,"Critical",IF(N($H288)&lt;=$S288,"Low",IF(N($H288)&gt;$U288,"Over top of green","OK")))))</f>
        <v/>
      </c>
      <c r="AE288" s="8" t="str">
        <f aca="false">IF($A288="","",$A288&amp;"")</f>
        <v/>
      </c>
      <c r="AF288" s="8" t="str">
        <f aca="false">IF($A288="","",SUBSTITUTE(SUBSTITUTE(SUBSTITUTE($A288&amp;"","~","~~"),"*","~*"),"?","~?"))</f>
        <v/>
      </c>
    </row>
    <row r="289" customFormat="false" ht="15" hidden="false" customHeight="false" outlineLevel="0" collapsed="false">
      <c r="A289" s="11"/>
      <c r="B289" s="11"/>
      <c r="C289" s="11"/>
      <c r="D289" s="16"/>
      <c r="E289" s="11"/>
      <c r="F289" s="11"/>
      <c r="G289" s="9"/>
      <c r="H289" s="11"/>
      <c r="I289" s="17"/>
      <c r="J289" s="18" t="str">
        <f aca="false">IF($A289="","",IF(COUNT(Usage!$C:$C)=0,"",MAX(0,SUMIFS(Usage!$C:$C,Usage!$A:$A,$AF289,Usage!$B:$B,"&gt;="&amp;(PlanDate-AduWindow),Usage!$B:$B,"&lt;"&amp;PlanDate))/AduWindow))</f>
        <v/>
      </c>
      <c r="K289" s="18" t="str">
        <f aca="false">IF($A289="","",IF(AND(ISNUMBER($I289),N($I289)&gt;=0),$I289,$J289))</f>
        <v/>
      </c>
      <c r="L289" s="19" t="str">
        <f aca="false">IF($A289="","",IF($K289="","Needs ADU",IF($K289&lt;=0,"No recent demand",IF(N($D289)&lt;=0,"Needs lead time","Planned"))))</f>
        <v/>
      </c>
      <c r="M289" s="8" t="str">
        <f aca="false">IF($A289="","",IF(ISNUMBER(MATCH($C289,Profiles!$A$2:$A$100,0)),$C289,DefaultProfile))</f>
        <v/>
      </c>
      <c r="N289" s="20" t="str">
        <f aca="false">IF($A289="","",INDEX(Profiles!$D$2:$D$100,MATCH($M289,Profiles!$A$2:$A$100,0)))</f>
        <v/>
      </c>
      <c r="O289" s="20" t="str">
        <f aca="false">IF($A289="","",INDEX(Profiles!$E$2:$E$100,MATCH($M289,Profiles!$A$2:$A$100,0)))</f>
        <v/>
      </c>
      <c r="P289" s="21" t="str">
        <f aca="false">IF($L289&lt;&gt;"Planned","",$K289*$D289*$N289*(1+$O289))</f>
        <v/>
      </c>
      <c r="Q289" s="21" t="str">
        <f aca="false">IF($L289&lt;&gt;"Planned","",$K289*$D289)</f>
        <v/>
      </c>
      <c r="R289" s="21" t="str">
        <f aca="false">IF($L289&lt;&gt;"Planned","",MAX(N($E289),$K289*$D289*$N289,$K289*N($G289)))</f>
        <v/>
      </c>
      <c r="S289" s="21" t="str">
        <f aca="false">IF($L289&lt;&gt;"Planned","",$P289)</f>
        <v/>
      </c>
      <c r="T289" s="21" t="str">
        <f aca="false">IF($L289&lt;&gt;"Planned","",$P289+$Q289)</f>
        <v/>
      </c>
      <c r="U289" s="21" t="str">
        <f aca="false">IF($L289&lt;&gt;"Planned","",$T289+$R289)</f>
        <v/>
      </c>
      <c r="V289" s="8" t="str">
        <f aca="false">IF($A289="","",SUMIFS('Open supply'!$C:$C,'Open supply'!$A:$A,$AF289))</f>
        <v/>
      </c>
      <c r="W289" s="8" t="str">
        <f aca="false">IF($A289="","",SUMIFS('Open supply'!$C:$C,'Open supply'!$A:$A,$AF289,'Open supply'!$B:$B,"&lt;"&amp;PlanDate))</f>
        <v/>
      </c>
      <c r="X289" s="8" t="str">
        <f aca="false">IF($A289="","",SUMIFS('Open demand'!$G:$G,'Open demand'!$A:$A,$AF289))</f>
        <v/>
      </c>
      <c r="Y289" s="8" t="str">
        <f aca="false">IF($L289&lt;&gt;"Planned","",N($H289)+$V289-$X289)</f>
        <v/>
      </c>
      <c r="Z289" s="19" t="str">
        <f aca="false">IF($L289&lt;&gt;"Planned","",IF($Y289&lt;=$S289,"Red",IF($Y289&lt;=$T289,"Yellow",IF($Y289&lt;=$U289,"Green","Above green"))))</f>
        <v/>
      </c>
      <c r="AA289" s="22" t="str">
        <f aca="false">IF(OR($L289&lt;&gt;"Planned",N($U289)&lt;=0),"",$Y289/$U289)</f>
        <v/>
      </c>
      <c r="AB289" s="8" t="str">
        <f aca="false">IF($L289&lt;&gt;"Planned","",IF($Y289&lt;=$T289,ROUNDUP(MAX($U289-$Y289,N($E289))/IF(N($F289)&gt;0,$F289,1)-0.000000001,0)*IF(N($F289)&gt;0,$F289,1),""))</f>
        <v/>
      </c>
      <c r="AC289" s="23" t="str">
        <f aca="false">IF(N($AB289)&gt;0,PlanDate+ROUNDUP($D289,0),"")</f>
        <v/>
      </c>
      <c r="AD289" s="19" t="str">
        <f aca="false">IF($L289&lt;&gt;"Planned","",IF(N($H289)&lt;=0,"Stockout",IF(N($H289)&lt;$S289*0.5,"Critical",IF(N($H289)&lt;=$S289,"Low",IF(N($H289)&gt;$U289,"Over top of green","OK")))))</f>
        <v/>
      </c>
      <c r="AE289" s="8" t="str">
        <f aca="false">IF($A289="","",$A289&amp;"")</f>
        <v/>
      </c>
      <c r="AF289" s="8" t="str">
        <f aca="false">IF($A289="","",SUBSTITUTE(SUBSTITUTE(SUBSTITUTE($A289&amp;"","~","~~"),"*","~*"),"?","~?"))</f>
        <v/>
      </c>
    </row>
    <row r="290" customFormat="false" ht="15" hidden="false" customHeight="false" outlineLevel="0" collapsed="false">
      <c r="A290" s="11"/>
      <c r="B290" s="11"/>
      <c r="C290" s="11"/>
      <c r="D290" s="16"/>
      <c r="E290" s="11"/>
      <c r="F290" s="11"/>
      <c r="G290" s="9"/>
      <c r="H290" s="11"/>
      <c r="I290" s="17"/>
      <c r="J290" s="18" t="str">
        <f aca="false">IF($A290="","",IF(COUNT(Usage!$C:$C)=0,"",MAX(0,SUMIFS(Usage!$C:$C,Usage!$A:$A,$AF290,Usage!$B:$B,"&gt;="&amp;(PlanDate-AduWindow),Usage!$B:$B,"&lt;"&amp;PlanDate))/AduWindow))</f>
        <v/>
      </c>
      <c r="K290" s="18" t="str">
        <f aca="false">IF($A290="","",IF(AND(ISNUMBER($I290),N($I290)&gt;=0),$I290,$J290))</f>
        <v/>
      </c>
      <c r="L290" s="19" t="str">
        <f aca="false">IF($A290="","",IF($K290="","Needs ADU",IF($K290&lt;=0,"No recent demand",IF(N($D290)&lt;=0,"Needs lead time","Planned"))))</f>
        <v/>
      </c>
      <c r="M290" s="8" t="str">
        <f aca="false">IF($A290="","",IF(ISNUMBER(MATCH($C290,Profiles!$A$2:$A$100,0)),$C290,DefaultProfile))</f>
        <v/>
      </c>
      <c r="N290" s="20" t="str">
        <f aca="false">IF($A290="","",INDEX(Profiles!$D$2:$D$100,MATCH($M290,Profiles!$A$2:$A$100,0)))</f>
        <v/>
      </c>
      <c r="O290" s="20" t="str">
        <f aca="false">IF($A290="","",INDEX(Profiles!$E$2:$E$100,MATCH($M290,Profiles!$A$2:$A$100,0)))</f>
        <v/>
      </c>
      <c r="P290" s="21" t="str">
        <f aca="false">IF($L290&lt;&gt;"Planned","",$K290*$D290*$N290*(1+$O290))</f>
        <v/>
      </c>
      <c r="Q290" s="21" t="str">
        <f aca="false">IF($L290&lt;&gt;"Planned","",$K290*$D290)</f>
        <v/>
      </c>
      <c r="R290" s="21" t="str">
        <f aca="false">IF($L290&lt;&gt;"Planned","",MAX(N($E290),$K290*$D290*$N290,$K290*N($G290)))</f>
        <v/>
      </c>
      <c r="S290" s="21" t="str">
        <f aca="false">IF($L290&lt;&gt;"Planned","",$P290)</f>
        <v/>
      </c>
      <c r="T290" s="21" t="str">
        <f aca="false">IF($L290&lt;&gt;"Planned","",$P290+$Q290)</f>
        <v/>
      </c>
      <c r="U290" s="21" t="str">
        <f aca="false">IF($L290&lt;&gt;"Planned","",$T290+$R290)</f>
        <v/>
      </c>
      <c r="V290" s="8" t="str">
        <f aca="false">IF($A290="","",SUMIFS('Open supply'!$C:$C,'Open supply'!$A:$A,$AF290))</f>
        <v/>
      </c>
      <c r="W290" s="8" t="str">
        <f aca="false">IF($A290="","",SUMIFS('Open supply'!$C:$C,'Open supply'!$A:$A,$AF290,'Open supply'!$B:$B,"&lt;"&amp;PlanDate))</f>
        <v/>
      </c>
      <c r="X290" s="8" t="str">
        <f aca="false">IF($A290="","",SUMIFS('Open demand'!$G:$G,'Open demand'!$A:$A,$AF290))</f>
        <v/>
      </c>
      <c r="Y290" s="8" t="str">
        <f aca="false">IF($L290&lt;&gt;"Planned","",N($H290)+$V290-$X290)</f>
        <v/>
      </c>
      <c r="Z290" s="19" t="str">
        <f aca="false">IF($L290&lt;&gt;"Planned","",IF($Y290&lt;=$S290,"Red",IF($Y290&lt;=$T290,"Yellow",IF($Y290&lt;=$U290,"Green","Above green"))))</f>
        <v/>
      </c>
      <c r="AA290" s="22" t="str">
        <f aca="false">IF(OR($L290&lt;&gt;"Planned",N($U290)&lt;=0),"",$Y290/$U290)</f>
        <v/>
      </c>
      <c r="AB290" s="8" t="str">
        <f aca="false">IF($L290&lt;&gt;"Planned","",IF($Y290&lt;=$T290,ROUNDUP(MAX($U290-$Y290,N($E290))/IF(N($F290)&gt;0,$F290,1)-0.000000001,0)*IF(N($F290)&gt;0,$F290,1),""))</f>
        <v/>
      </c>
      <c r="AC290" s="23" t="str">
        <f aca="false">IF(N($AB290)&gt;0,PlanDate+ROUNDUP($D290,0),"")</f>
        <v/>
      </c>
      <c r="AD290" s="19" t="str">
        <f aca="false">IF($L290&lt;&gt;"Planned","",IF(N($H290)&lt;=0,"Stockout",IF(N($H290)&lt;$S290*0.5,"Critical",IF(N($H290)&lt;=$S290,"Low",IF(N($H290)&gt;$U290,"Over top of green","OK")))))</f>
        <v/>
      </c>
      <c r="AE290" s="8" t="str">
        <f aca="false">IF($A290="","",$A290&amp;"")</f>
        <v/>
      </c>
      <c r="AF290" s="8" t="str">
        <f aca="false">IF($A290="","",SUBSTITUTE(SUBSTITUTE(SUBSTITUTE($A290&amp;"","~","~~"),"*","~*"),"?","~?"))</f>
        <v/>
      </c>
    </row>
    <row r="291" customFormat="false" ht="15" hidden="false" customHeight="false" outlineLevel="0" collapsed="false">
      <c r="A291" s="11"/>
      <c r="B291" s="11"/>
      <c r="C291" s="11"/>
      <c r="D291" s="16"/>
      <c r="E291" s="11"/>
      <c r="F291" s="11"/>
      <c r="G291" s="9"/>
      <c r="H291" s="11"/>
      <c r="I291" s="17"/>
      <c r="J291" s="18" t="str">
        <f aca="false">IF($A291="","",IF(COUNT(Usage!$C:$C)=0,"",MAX(0,SUMIFS(Usage!$C:$C,Usage!$A:$A,$AF291,Usage!$B:$B,"&gt;="&amp;(PlanDate-AduWindow),Usage!$B:$B,"&lt;"&amp;PlanDate))/AduWindow))</f>
        <v/>
      </c>
      <c r="K291" s="18" t="str">
        <f aca="false">IF($A291="","",IF(AND(ISNUMBER($I291),N($I291)&gt;=0),$I291,$J291))</f>
        <v/>
      </c>
      <c r="L291" s="19" t="str">
        <f aca="false">IF($A291="","",IF($K291="","Needs ADU",IF($K291&lt;=0,"No recent demand",IF(N($D291)&lt;=0,"Needs lead time","Planned"))))</f>
        <v/>
      </c>
      <c r="M291" s="8" t="str">
        <f aca="false">IF($A291="","",IF(ISNUMBER(MATCH($C291,Profiles!$A$2:$A$100,0)),$C291,DefaultProfile))</f>
        <v/>
      </c>
      <c r="N291" s="20" t="str">
        <f aca="false">IF($A291="","",INDEX(Profiles!$D$2:$D$100,MATCH($M291,Profiles!$A$2:$A$100,0)))</f>
        <v/>
      </c>
      <c r="O291" s="20" t="str">
        <f aca="false">IF($A291="","",INDEX(Profiles!$E$2:$E$100,MATCH($M291,Profiles!$A$2:$A$100,0)))</f>
        <v/>
      </c>
      <c r="P291" s="21" t="str">
        <f aca="false">IF($L291&lt;&gt;"Planned","",$K291*$D291*$N291*(1+$O291))</f>
        <v/>
      </c>
      <c r="Q291" s="21" t="str">
        <f aca="false">IF($L291&lt;&gt;"Planned","",$K291*$D291)</f>
        <v/>
      </c>
      <c r="R291" s="21" t="str">
        <f aca="false">IF($L291&lt;&gt;"Planned","",MAX(N($E291),$K291*$D291*$N291,$K291*N($G291)))</f>
        <v/>
      </c>
      <c r="S291" s="21" t="str">
        <f aca="false">IF($L291&lt;&gt;"Planned","",$P291)</f>
        <v/>
      </c>
      <c r="T291" s="21" t="str">
        <f aca="false">IF($L291&lt;&gt;"Planned","",$P291+$Q291)</f>
        <v/>
      </c>
      <c r="U291" s="21" t="str">
        <f aca="false">IF($L291&lt;&gt;"Planned","",$T291+$R291)</f>
        <v/>
      </c>
      <c r="V291" s="8" t="str">
        <f aca="false">IF($A291="","",SUMIFS('Open supply'!$C:$C,'Open supply'!$A:$A,$AF291))</f>
        <v/>
      </c>
      <c r="W291" s="8" t="str">
        <f aca="false">IF($A291="","",SUMIFS('Open supply'!$C:$C,'Open supply'!$A:$A,$AF291,'Open supply'!$B:$B,"&lt;"&amp;PlanDate))</f>
        <v/>
      </c>
      <c r="X291" s="8" t="str">
        <f aca="false">IF($A291="","",SUMIFS('Open demand'!$G:$G,'Open demand'!$A:$A,$AF291))</f>
        <v/>
      </c>
      <c r="Y291" s="8" t="str">
        <f aca="false">IF($L291&lt;&gt;"Planned","",N($H291)+$V291-$X291)</f>
        <v/>
      </c>
      <c r="Z291" s="19" t="str">
        <f aca="false">IF($L291&lt;&gt;"Planned","",IF($Y291&lt;=$S291,"Red",IF($Y291&lt;=$T291,"Yellow",IF($Y291&lt;=$U291,"Green","Above green"))))</f>
        <v/>
      </c>
      <c r="AA291" s="22" t="str">
        <f aca="false">IF(OR($L291&lt;&gt;"Planned",N($U291)&lt;=0),"",$Y291/$U291)</f>
        <v/>
      </c>
      <c r="AB291" s="8" t="str">
        <f aca="false">IF($L291&lt;&gt;"Planned","",IF($Y291&lt;=$T291,ROUNDUP(MAX($U291-$Y291,N($E291))/IF(N($F291)&gt;0,$F291,1)-0.000000001,0)*IF(N($F291)&gt;0,$F291,1),""))</f>
        <v/>
      </c>
      <c r="AC291" s="23" t="str">
        <f aca="false">IF(N($AB291)&gt;0,PlanDate+ROUNDUP($D291,0),"")</f>
        <v/>
      </c>
      <c r="AD291" s="19" t="str">
        <f aca="false">IF($L291&lt;&gt;"Planned","",IF(N($H291)&lt;=0,"Stockout",IF(N($H291)&lt;$S291*0.5,"Critical",IF(N($H291)&lt;=$S291,"Low",IF(N($H291)&gt;$U291,"Over top of green","OK")))))</f>
        <v/>
      </c>
      <c r="AE291" s="8" t="str">
        <f aca="false">IF($A291="","",$A291&amp;"")</f>
        <v/>
      </c>
      <c r="AF291" s="8" t="str">
        <f aca="false">IF($A291="","",SUBSTITUTE(SUBSTITUTE(SUBSTITUTE($A291&amp;"","~","~~"),"*","~*"),"?","~?"))</f>
        <v/>
      </c>
    </row>
    <row r="292" customFormat="false" ht="15" hidden="false" customHeight="false" outlineLevel="0" collapsed="false">
      <c r="A292" s="11"/>
      <c r="B292" s="11"/>
      <c r="C292" s="11"/>
      <c r="D292" s="16"/>
      <c r="E292" s="11"/>
      <c r="F292" s="11"/>
      <c r="G292" s="9"/>
      <c r="H292" s="11"/>
      <c r="I292" s="17"/>
      <c r="J292" s="18" t="str">
        <f aca="false">IF($A292="","",IF(COUNT(Usage!$C:$C)=0,"",MAX(0,SUMIFS(Usage!$C:$C,Usage!$A:$A,$AF292,Usage!$B:$B,"&gt;="&amp;(PlanDate-AduWindow),Usage!$B:$B,"&lt;"&amp;PlanDate))/AduWindow))</f>
        <v/>
      </c>
      <c r="K292" s="18" t="str">
        <f aca="false">IF($A292="","",IF(AND(ISNUMBER($I292),N($I292)&gt;=0),$I292,$J292))</f>
        <v/>
      </c>
      <c r="L292" s="19" t="str">
        <f aca="false">IF($A292="","",IF($K292="","Needs ADU",IF($K292&lt;=0,"No recent demand",IF(N($D292)&lt;=0,"Needs lead time","Planned"))))</f>
        <v/>
      </c>
      <c r="M292" s="8" t="str">
        <f aca="false">IF($A292="","",IF(ISNUMBER(MATCH($C292,Profiles!$A$2:$A$100,0)),$C292,DefaultProfile))</f>
        <v/>
      </c>
      <c r="N292" s="20" t="str">
        <f aca="false">IF($A292="","",INDEX(Profiles!$D$2:$D$100,MATCH($M292,Profiles!$A$2:$A$100,0)))</f>
        <v/>
      </c>
      <c r="O292" s="20" t="str">
        <f aca="false">IF($A292="","",INDEX(Profiles!$E$2:$E$100,MATCH($M292,Profiles!$A$2:$A$100,0)))</f>
        <v/>
      </c>
      <c r="P292" s="21" t="str">
        <f aca="false">IF($L292&lt;&gt;"Planned","",$K292*$D292*$N292*(1+$O292))</f>
        <v/>
      </c>
      <c r="Q292" s="21" t="str">
        <f aca="false">IF($L292&lt;&gt;"Planned","",$K292*$D292)</f>
        <v/>
      </c>
      <c r="R292" s="21" t="str">
        <f aca="false">IF($L292&lt;&gt;"Planned","",MAX(N($E292),$K292*$D292*$N292,$K292*N($G292)))</f>
        <v/>
      </c>
      <c r="S292" s="21" t="str">
        <f aca="false">IF($L292&lt;&gt;"Planned","",$P292)</f>
        <v/>
      </c>
      <c r="T292" s="21" t="str">
        <f aca="false">IF($L292&lt;&gt;"Planned","",$P292+$Q292)</f>
        <v/>
      </c>
      <c r="U292" s="21" t="str">
        <f aca="false">IF($L292&lt;&gt;"Planned","",$T292+$R292)</f>
        <v/>
      </c>
      <c r="V292" s="8" t="str">
        <f aca="false">IF($A292="","",SUMIFS('Open supply'!$C:$C,'Open supply'!$A:$A,$AF292))</f>
        <v/>
      </c>
      <c r="W292" s="8" t="str">
        <f aca="false">IF($A292="","",SUMIFS('Open supply'!$C:$C,'Open supply'!$A:$A,$AF292,'Open supply'!$B:$B,"&lt;"&amp;PlanDate))</f>
        <v/>
      </c>
      <c r="X292" s="8" t="str">
        <f aca="false">IF($A292="","",SUMIFS('Open demand'!$G:$G,'Open demand'!$A:$A,$AF292))</f>
        <v/>
      </c>
      <c r="Y292" s="8" t="str">
        <f aca="false">IF($L292&lt;&gt;"Planned","",N($H292)+$V292-$X292)</f>
        <v/>
      </c>
      <c r="Z292" s="19" t="str">
        <f aca="false">IF($L292&lt;&gt;"Planned","",IF($Y292&lt;=$S292,"Red",IF($Y292&lt;=$T292,"Yellow",IF($Y292&lt;=$U292,"Green","Above green"))))</f>
        <v/>
      </c>
      <c r="AA292" s="22" t="str">
        <f aca="false">IF(OR($L292&lt;&gt;"Planned",N($U292)&lt;=0),"",$Y292/$U292)</f>
        <v/>
      </c>
      <c r="AB292" s="8" t="str">
        <f aca="false">IF($L292&lt;&gt;"Planned","",IF($Y292&lt;=$T292,ROUNDUP(MAX($U292-$Y292,N($E292))/IF(N($F292)&gt;0,$F292,1)-0.000000001,0)*IF(N($F292)&gt;0,$F292,1),""))</f>
        <v/>
      </c>
      <c r="AC292" s="23" t="str">
        <f aca="false">IF(N($AB292)&gt;0,PlanDate+ROUNDUP($D292,0),"")</f>
        <v/>
      </c>
      <c r="AD292" s="19" t="str">
        <f aca="false">IF($L292&lt;&gt;"Planned","",IF(N($H292)&lt;=0,"Stockout",IF(N($H292)&lt;$S292*0.5,"Critical",IF(N($H292)&lt;=$S292,"Low",IF(N($H292)&gt;$U292,"Over top of green","OK")))))</f>
        <v/>
      </c>
      <c r="AE292" s="8" t="str">
        <f aca="false">IF($A292="","",$A292&amp;"")</f>
        <v/>
      </c>
      <c r="AF292" s="8" t="str">
        <f aca="false">IF($A292="","",SUBSTITUTE(SUBSTITUTE(SUBSTITUTE($A292&amp;"","~","~~"),"*","~*"),"?","~?"))</f>
        <v/>
      </c>
    </row>
    <row r="293" customFormat="false" ht="15" hidden="false" customHeight="false" outlineLevel="0" collapsed="false">
      <c r="A293" s="11"/>
      <c r="B293" s="11"/>
      <c r="C293" s="11"/>
      <c r="D293" s="16"/>
      <c r="E293" s="11"/>
      <c r="F293" s="11"/>
      <c r="G293" s="9"/>
      <c r="H293" s="11"/>
      <c r="I293" s="17"/>
      <c r="J293" s="18" t="str">
        <f aca="false">IF($A293="","",IF(COUNT(Usage!$C:$C)=0,"",MAX(0,SUMIFS(Usage!$C:$C,Usage!$A:$A,$AF293,Usage!$B:$B,"&gt;="&amp;(PlanDate-AduWindow),Usage!$B:$B,"&lt;"&amp;PlanDate))/AduWindow))</f>
        <v/>
      </c>
      <c r="K293" s="18" t="str">
        <f aca="false">IF($A293="","",IF(AND(ISNUMBER($I293),N($I293)&gt;=0),$I293,$J293))</f>
        <v/>
      </c>
      <c r="L293" s="19" t="str">
        <f aca="false">IF($A293="","",IF($K293="","Needs ADU",IF($K293&lt;=0,"No recent demand",IF(N($D293)&lt;=0,"Needs lead time","Planned"))))</f>
        <v/>
      </c>
      <c r="M293" s="8" t="str">
        <f aca="false">IF($A293="","",IF(ISNUMBER(MATCH($C293,Profiles!$A$2:$A$100,0)),$C293,DefaultProfile))</f>
        <v/>
      </c>
      <c r="N293" s="20" t="str">
        <f aca="false">IF($A293="","",INDEX(Profiles!$D$2:$D$100,MATCH($M293,Profiles!$A$2:$A$100,0)))</f>
        <v/>
      </c>
      <c r="O293" s="20" t="str">
        <f aca="false">IF($A293="","",INDEX(Profiles!$E$2:$E$100,MATCH($M293,Profiles!$A$2:$A$100,0)))</f>
        <v/>
      </c>
      <c r="P293" s="21" t="str">
        <f aca="false">IF($L293&lt;&gt;"Planned","",$K293*$D293*$N293*(1+$O293))</f>
        <v/>
      </c>
      <c r="Q293" s="21" t="str">
        <f aca="false">IF($L293&lt;&gt;"Planned","",$K293*$D293)</f>
        <v/>
      </c>
      <c r="R293" s="21" t="str">
        <f aca="false">IF($L293&lt;&gt;"Planned","",MAX(N($E293),$K293*$D293*$N293,$K293*N($G293)))</f>
        <v/>
      </c>
      <c r="S293" s="21" t="str">
        <f aca="false">IF($L293&lt;&gt;"Planned","",$P293)</f>
        <v/>
      </c>
      <c r="T293" s="21" t="str">
        <f aca="false">IF($L293&lt;&gt;"Planned","",$P293+$Q293)</f>
        <v/>
      </c>
      <c r="U293" s="21" t="str">
        <f aca="false">IF($L293&lt;&gt;"Planned","",$T293+$R293)</f>
        <v/>
      </c>
      <c r="V293" s="8" t="str">
        <f aca="false">IF($A293="","",SUMIFS('Open supply'!$C:$C,'Open supply'!$A:$A,$AF293))</f>
        <v/>
      </c>
      <c r="W293" s="8" t="str">
        <f aca="false">IF($A293="","",SUMIFS('Open supply'!$C:$C,'Open supply'!$A:$A,$AF293,'Open supply'!$B:$B,"&lt;"&amp;PlanDate))</f>
        <v/>
      </c>
      <c r="X293" s="8" t="str">
        <f aca="false">IF($A293="","",SUMIFS('Open demand'!$G:$G,'Open demand'!$A:$A,$AF293))</f>
        <v/>
      </c>
      <c r="Y293" s="8" t="str">
        <f aca="false">IF($L293&lt;&gt;"Planned","",N($H293)+$V293-$X293)</f>
        <v/>
      </c>
      <c r="Z293" s="19" t="str">
        <f aca="false">IF($L293&lt;&gt;"Planned","",IF($Y293&lt;=$S293,"Red",IF($Y293&lt;=$T293,"Yellow",IF($Y293&lt;=$U293,"Green","Above green"))))</f>
        <v/>
      </c>
      <c r="AA293" s="22" t="str">
        <f aca="false">IF(OR($L293&lt;&gt;"Planned",N($U293)&lt;=0),"",$Y293/$U293)</f>
        <v/>
      </c>
      <c r="AB293" s="8" t="str">
        <f aca="false">IF($L293&lt;&gt;"Planned","",IF($Y293&lt;=$T293,ROUNDUP(MAX($U293-$Y293,N($E293))/IF(N($F293)&gt;0,$F293,1)-0.000000001,0)*IF(N($F293)&gt;0,$F293,1),""))</f>
        <v/>
      </c>
      <c r="AC293" s="23" t="str">
        <f aca="false">IF(N($AB293)&gt;0,PlanDate+ROUNDUP($D293,0),"")</f>
        <v/>
      </c>
      <c r="AD293" s="19" t="str">
        <f aca="false">IF($L293&lt;&gt;"Planned","",IF(N($H293)&lt;=0,"Stockout",IF(N($H293)&lt;$S293*0.5,"Critical",IF(N($H293)&lt;=$S293,"Low",IF(N($H293)&gt;$U293,"Over top of green","OK")))))</f>
        <v/>
      </c>
      <c r="AE293" s="8" t="str">
        <f aca="false">IF($A293="","",$A293&amp;"")</f>
        <v/>
      </c>
      <c r="AF293" s="8" t="str">
        <f aca="false">IF($A293="","",SUBSTITUTE(SUBSTITUTE(SUBSTITUTE($A293&amp;"","~","~~"),"*","~*"),"?","~?"))</f>
        <v/>
      </c>
    </row>
    <row r="294" customFormat="false" ht="15" hidden="false" customHeight="false" outlineLevel="0" collapsed="false">
      <c r="A294" s="11"/>
      <c r="B294" s="11"/>
      <c r="C294" s="11"/>
      <c r="D294" s="16"/>
      <c r="E294" s="11"/>
      <c r="F294" s="11"/>
      <c r="G294" s="9"/>
      <c r="H294" s="11"/>
      <c r="I294" s="17"/>
      <c r="J294" s="18" t="str">
        <f aca="false">IF($A294="","",IF(COUNT(Usage!$C:$C)=0,"",MAX(0,SUMIFS(Usage!$C:$C,Usage!$A:$A,$AF294,Usage!$B:$B,"&gt;="&amp;(PlanDate-AduWindow),Usage!$B:$B,"&lt;"&amp;PlanDate))/AduWindow))</f>
        <v/>
      </c>
      <c r="K294" s="18" t="str">
        <f aca="false">IF($A294="","",IF(AND(ISNUMBER($I294),N($I294)&gt;=0),$I294,$J294))</f>
        <v/>
      </c>
      <c r="L294" s="19" t="str">
        <f aca="false">IF($A294="","",IF($K294="","Needs ADU",IF($K294&lt;=0,"No recent demand",IF(N($D294)&lt;=0,"Needs lead time","Planned"))))</f>
        <v/>
      </c>
      <c r="M294" s="8" t="str">
        <f aca="false">IF($A294="","",IF(ISNUMBER(MATCH($C294,Profiles!$A$2:$A$100,0)),$C294,DefaultProfile))</f>
        <v/>
      </c>
      <c r="N294" s="20" t="str">
        <f aca="false">IF($A294="","",INDEX(Profiles!$D$2:$D$100,MATCH($M294,Profiles!$A$2:$A$100,0)))</f>
        <v/>
      </c>
      <c r="O294" s="20" t="str">
        <f aca="false">IF($A294="","",INDEX(Profiles!$E$2:$E$100,MATCH($M294,Profiles!$A$2:$A$100,0)))</f>
        <v/>
      </c>
      <c r="P294" s="21" t="str">
        <f aca="false">IF($L294&lt;&gt;"Planned","",$K294*$D294*$N294*(1+$O294))</f>
        <v/>
      </c>
      <c r="Q294" s="21" t="str">
        <f aca="false">IF($L294&lt;&gt;"Planned","",$K294*$D294)</f>
        <v/>
      </c>
      <c r="R294" s="21" t="str">
        <f aca="false">IF($L294&lt;&gt;"Planned","",MAX(N($E294),$K294*$D294*$N294,$K294*N($G294)))</f>
        <v/>
      </c>
      <c r="S294" s="21" t="str">
        <f aca="false">IF($L294&lt;&gt;"Planned","",$P294)</f>
        <v/>
      </c>
      <c r="T294" s="21" t="str">
        <f aca="false">IF($L294&lt;&gt;"Planned","",$P294+$Q294)</f>
        <v/>
      </c>
      <c r="U294" s="21" t="str">
        <f aca="false">IF($L294&lt;&gt;"Planned","",$T294+$R294)</f>
        <v/>
      </c>
      <c r="V294" s="8" t="str">
        <f aca="false">IF($A294="","",SUMIFS('Open supply'!$C:$C,'Open supply'!$A:$A,$AF294))</f>
        <v/>
      </c>
      <c r="W294" s="8" t="str">
        <f aca="false">IF($A294="","",SUMIFS('Open supply'!$C:$C,'Open supply'!$A:$A,$AF294,'Open supply'!$B:$B,"&lt;"&amp;PlanDate))</f>
        <v/>
      </c>
      <c r="X294" s="8" t="str">
        <f aca="false">IF($A294="","",SUMIFS('Open demand'!$G:$G,'Open demand'!$A:$A,$AF294))</f>
        <v/>
      </c>
      <c r="Y294" s="8" t="str">
        <f aca="false">IF($L294&lt;&gt;"Planned","",N($H294)+$V294-$X294)</f>
        <v/>
      </c>
      <c r="Z294" s="19" t="str">
        <f aca="false">IF($L294&lt;&gt;"Planned","",IF($Y294&lt;=$S294,"Red",IF($Y294&lt;=$T294,"Yellow",IF($Y294&lt;=$U294,"Green","Above green"))))</f>
        <v/>
      </c>
      <c r="AA294" s="22" t="str">
        <f aca="false">IF(OR($L294&lt;&gt;"Planned",N($U294)&lt;=0),"",$Y294/$U294)</f>
        <v/>
      </c>
      <c r="AB294" s="8" t="str">
        <f aca="false">IF($L294&lt;&gt;"Planned","",IF($Y294&lt;=$T294,ROUNDUP(MAX($U294-$Y294,N($E294))/IF(N($F294)&gt;0,$F294,1)-0.000000001,0)*IF(N($F294)&gt;0,$F294,1),""))</f>
        <v/>
      </c>
      <c r="AC294" s="23" t="str">
        <f aca="false">IF(N($AB294)&gt;0,PlanDate+ROUNDUP($D294,0),"")</f>
        <v/>
      </c>
      <c r="AD294" s="19" t="str">
        <f aca="false">IF($L294&lt;&gt;"Planned","",IF(N($H294)&lt;=0,"Stockout",IF(N($H294)&lt;$S294*0.5,"Critical",IF(N($H294)&lt;=$S294,"Low",IF(N($H294)&gt;$U294,"Over top of green","OK")))))</f>
        <v/>
      </c>
      <c r="AE294" s="8" t="str">
        <f aca="false">IF($A294="","",$A294&amp;"")</f>
        <v/>
      </c>
      <c r="AF294" s="8" t="str">
        <f aca="false">IF($A294="","",SUBSTITUTE(SUBSTITUTE(SUBSTITUTE($A294&amp;"","~","~~"),"*","~*"),"?","~?"))</f>
        <v/>
      </c>
    </row>
    <row r="295" customFormat="false" ht="15" hidden="false" customHeight="false" outlineLevel="0" collapsed="false">
      <c r="A295" s="11"/>
      <c r="B295" s="11"/>
      <c r="C295" s="11"/>
      <c r="D295" s="16"/>
      <c r="E295" s="11"/>
      <c r="F295" s="11"/>
      <c r="G295" s="9"/>
      <c r="H295" s="11"/>
      <c r="I295" s="17"/>
      <c r="J295" s="18" t="str">
        <f aca="false">IF($A295="","",IF(COUNT(Usage!$C:$C)=0,"",MAX(0,SUMIFS(Usage!$C:$C,Usage!$A:$A,$AF295,Usage!$B:$B,"&gt;="&amp;(PlanDate-AduWindow),Usage!$B:$B,"&lt;"&amp;PlanDate))/AduWindow))</f>
        <v/>
      </c>
      <c r="K295" s="18" t="str">
        <f aca="false">IF($A295="","",IF(AND(ISNUMBER($I295),N($I295)&gt;=0),$I295,$J295))</f>
        <v/>
      </c>
      <c r="L295" s="19" t="str">
        <f aca="false">IF($A295="","",IF($K295="","Needs ADU",IF($K295&lt;=0,"No recent demand",IF(N($D295)&lt;=0,"Needs lead time","Planned"))))</f>
        <v/>
      </c>
      <c r="M295" s="8" t="str">
        <f aca="false">IF($A295="","",IF(ISNUMBER(MATCH($C295,Profiles!$A$2:$A$100,0)),$C295,DefaultProfile))</f>
        <v/>
      </c>
      <c r="N295" s="20" t="str">
        <f aca="false">IF($A295="","",INDEX(Profiles!$D$2:$D$100,MATCH($M295,Profiles!$A$2:$A$100,0)))</f>
        <v/>
      </c>
      <c r="O295" s="20" t="str">
        <f aca="false">IF($A295="","",INDEX(Profiles!$E$2:$E$100,MATCH($M295,Profiles!$A$2:$A$100,0)))</f>
        <v/>
      </c>
      <c r="P295" s="21" t="str">
        <f aca="false">IF($L295&lt;&gt;"Planned","",$K295*$D295*$N295*(1+$O295))</f>
        <v/>
      </c>
      <c r="Q295" s="21" t="str">
        <f aca="false">IF($L295&lt;&gt;"Planned","",$K295*$D295)</f>
        <v/>
      </c>
      <c r="R295" s="21" t="str">
        <f aca="false">IF($L295&lt;&gt;"Planned","",MAX(N($E295),$K295*$D295*$N295,$K295*N($G295)))</f>
        <v/>
      </c>
      <c r="S295" s="21" t="str">
        <f aca="false">IF($L295&lt;&gt;"Planned","",$P295)</f>
        <v/>
      </c>
      <c r="T295" s="21" t="str">
        <f aca="false">IF($L295&lt;&gt;"Planned","",$P295+$Q295)</f>
        <v/>
      </c>
      <c r="U295" s="21" t="str">
        <f aca="false">IF($L295&lt;&gt;"Planned","",$T295+$R295)</f>
        <v/>
      </c>
      <c r="V295" s="8" t="str">
        <f aca="false">IF($A295="","",SUMIFS('Open supply'!$C:$C,'Open supply'!$A:$A,$AF295))</f>
        <v/>
      </c>
      <c r="W295" s="8" t="str">
        <f aca="false">IF($A295="","",SUMIFS('Open supply'!$C:$C,'Open supply'!$A:$A,$AF295,'Open supply'!$B:$B,"&lt;"&amp;PlanDate))</f>
        <v/>
      </c>
      <c r="X295" s="8" t="str">
        <f aca="false">IF($A295="","",SUMIFS('Open demand'!$G:$G,'Open demand'!$A:$A,$AF295))</f>
        <v/>
      </c>
      <c r="Y295" s="8" t="str">
        <f aca="false">IF($L295&lt;&gt;"Planned","",N($H295)+$V295-$X295)</f>
        <v/>
      </c>
      <c r="Z295" s="19" t="str">
        <f aca="false">IF($L295&lt;&gt;"Planned","",IF($Y295&lt;=$S295,"Red",IF($Y295&lt;=$T295,"Yellow",IF($Y295&lt;=$U295,"Green","Above green"))))</f>
        <v/>
      </c>
      <c r="AA295" s="22" t="str">
        <f aca="false">IF(OR($L295&lt;&gt;"Planned",N($U295)&lt;=0),"",$Y295/$U295)</f>
        <v/>
      </c>
      <c r="AB295" s="8" t="str">
        <f aca="false">IF($L295&lt;&gt;"Planned","",IF($Y295&lt;=$T295,ROUNDUP(MAX($U295-$Y295,N($E295))/IF(N($F295)&gt;0,$F295,1)-0.000000001,0)*IF(N($F295)&gt;0,$F295,1),""))</f>
        <v/>
      </c>
      <c r="AC295" s="23" t="str">
        <f aca="false">IF(N($AB295)&gt;0,PlanDate+ROUNDUP($D295,0),"")</f>
        <v/>
      </c>
      <c r="AD295" s="19" t="str">
        <f aca="false">IF($L295&lt;&gt;"Planned","",IF(N($H295)&lt;=0,"Stockout",IF(N($H295)&lt;$S295*0.5,"Critical",IF(N($H295)&lt;=$S295,"Low",IF(N($H295)&gt;$U295,"Over top of green","OK")))))</f>
        <v/>
      </c>
      <c r="AE295" s="8" t="str">
        <f aca="false">IF($A295="","",$A295&amp;"")</f>
        <v/>
      </c>
      <c r="AF295" s="8" t="str">
        <f aca="false">IF($A295="","",SUBSTITUTE(SUBSTITUTE(SUBSTITUTE($A295&amp;"","~","~~"),"*","~*"),"?","~?"))</f>
        <v/>
      </c>
    </row>
    <row r="296" customFormat="false" ht="15" hidden="false" customHeight="false" outlineLevel="0" collapsed="false">
      <c r="A296" s="11"/>
      <c r="B296" s="11"/>
      <c r="C296" s="11"/>
      <c r="D296" s="16"/>
      <c r="E296" s="11"/>
      <c r="F296" s="11"/>
      <c r="G296" s="9"/>
      <c r="H296" s="11"/>
      <c r="I296" s="17"/>
      <c r="J296" s="18" t="str">
        <f aca="false">IF($A296="","",IF(COUNT(Usage!$C:$C)=0,"",MAX(0,SUMIFS(Usage!$C:$C,Usage!$A:$A,$AF296,Usage!$B:$B,"&gt;="&amp;(PlanDate-AduWindow),Usage!$B:$B,"&lt;"&amp;PlanDate))/AduWindow))</f>
        <v/>
      </c>
      <c r="K296" s="18" t="str">
        <f aca="false">IF($A296="","",IF(AND(ISNUMBER($I296),N($I296)&gt;=0),$I296,$J296))</f>
        <v/>
      </c>
      <c r="L296" s="19" t="str">
        <f aca="false">IF($A296="","",IF($K296="","Needs ADU",IF($K296&lt;=0,"No recent demand",IF(N($D296)&lt;=0,"Needs lead time","Planned"))))</f>
        <v/>
      </c>
      <c r="M296" s="8" t="str">
        <f aca="false">IF($A296="","",IF(ISNUMBER(MATCH($C296,Profiles!$A$2:$A$100,0)),$C296,DefaultProfile))</f>
        <v/>
      </c>
      <c r="N296" s="20" t="str">
        <f aca="false">IF($A296="","",INDEX(Profiles!$D$2:$D$100,MATCH($M296,Profiles!$A$2:$A$100,0)))</f>
        <v/>
      </c>
      <c r="O296" s="20" t="str">
        <f aca="false">IF($A296="","",INDEX(Profiles!$E$2:$E$100,MATCH($M296,Profiles!$A$2:$A$100,0)))</f>
        <v/>
      </c>
      <c r="P296" s="21" t="str">
        <f aca="false">IF($L296&lt;&gt;"Planned","",$K296*$D296*$N296*(1+$O296))</f>
        <v/>
      </c>
      <c r="Q296" s="21" t="str">
        <f aca="false">IF($L296&lt;&gt;"Planned","",$K296*$D296)</f>
        <v/>
      </c>
      <c r="R296" s="21" t="str">
        <f aca="false">IF($L296&lt;&gt;"Planned","",MAX(N($E296),$K296*$D296*$N296,$K296*N($G296)))</f>
        <v/>
      </c>
      <c r="S296" s="21" t="str">
        <f aca="false">IF($L296&lt;&gt;"Planned","",$P296)</f>
        <v/>
      </c>
      <c r="T296" s="21" t="str">
        <f aca="false">IF($L296&lt;&gt;"Planned","",$P296+$Q296)</f>
        <v/>
      </c>
      <c r="U296" s="21" t="str">
        <f aca="false">IF($L296&lt;&gt;"Planned","",$T296+$R296)</f>
        <v/>
      </c>
      <c r="V296" s="8" t="str">
        <f aca="false">IF($A296="","",SUMIFS('Open supply'!$C:$C,'Open supply'!$A:$A,$AF296))</f>
        <v/>
      </c>
      <c r="W296" s="8" t="str">
        <f aca="false">IF($A296="","",SUMIFS('Open supply'!$C:$C,'Open supply'!$A:$A,$AF296,'Open supply'!$B:$B,"&lt;"&amp;PlanDate))</f>
        <v/>
      </c>
      <c r="X296" s="8" t="str">
        <f aca="false">IF($A296="","",SUMIFS('Open demand'!$G:$G,'Open demand'!$A:$A,$AF296))</f>
        <v/>
      </c>
      <c r="Y296" s="8" t="str">
        <f aca="false">IF($L296&lt;&gt;"Planned","",N($H296)+$V296-$X296)</f>
        <v/>
      </c>
      <c r="Z296" s="19" t="str">
        <f aca="false">IF($L296&lt;&gt;"Planned","",IF($Y296&lt;=$S296,"Red",IF($Y296&lt;=$T296,"Yellow",IF($Y296&lt;=$U296,"Green","Above green"))))</f>
        <v/>
      </c>
      <c r="AA296" s="22" t="str">
        <f aca="false">IF(OR($L296&lt;&gt;"Planned",N($U296)&lt;=0),"",$Y296/$U296)</f>
        <v/>
      </c>
      <c r="AB296" s="8" t="str">
        <f aca="false">IF($L296&lt;&gt;"Planned","",IF($Y296&lt;=$T296,ROUNDUP(MAX($U296-$Y296,N($E296))/IF(N($F296)&gt;0,$F296,1)-0.000000001,0)*IF(N($F296)&gt;0,$F296,1),""))</f>
        <v/>
      </c>
      <c r="AC296" s="23" t="str">
        <f aca="false">IF(N($AB296)&gt;0,PlanDate+ROUNDUP($D296,0),"")</f>
        <v/>
      </c>
      <c r="AD296" s="19" t="str">
        <f aca="false">IF($L296&lt;&gt;"Planned","",IF(N($H296)&lt;=0,"Stockout",IF(N($H296)&lt;$S296*0.5,"Critical",IF(N($H296)&lt;=$S296,"Low",IF(N($H296)&gt;$U296,"Over top of green","OK")))))</f>
        <v/>
      </c>
      <c r="AE296" s="8" t="str">
        <f aca="false">IF($A296="","",$A296&amp;"")</f>
        <v/>
      </c>
      <c r="AF296" s="8" t="str">
        <f aca="false">IF($A296="","",SUBSTITUTE(SUBSTITUTE(SUBSTITUTE($A296&amp;"","~","~~"),"*","~*"),"?","~?"))</f>
        <v/>
      </c>
    </row>
    <row r="297" customFormat="false" ht="15" hidden="false" customHeight="false" outlineLevel="0" collapsed="false">
      <c r="A297" s="11"/>
      <c r="B297" s="11"/>
      <c r="C297" s="11"/>
      <c r="D297" s="16"/>
      <c r="E297" s="11"/>
      <c r="F297" s="11"/>
      <c r="G297" s="9"/>
      <c r="H297" s="11"/>
      <c r="I297" s="17"/>
      <c r="J297" s="18" t="str">
        <f aca="false">IF($A297="","",IF(COUNT(Usage!$C:$C)=0,"",MAX(0,SUMIFS(Usage!$C:$C,Usage!$A:$A,$AF297,Usage!$B:$B,"&gt;="&amp;(PlanDate-AduWindow),Usage!$B:$B,"&lt;"&amp;PlanDate))/AduWindow))</f>
        <v/>
      </c>
      <c r="K297" s="18" t="str">
        <f aca="false">IF($A297="","",IF(AND(ISNUMBER($I297),N($I297)&gt;=0),$I297,$J297))</f>
        <v/>
      </c>
      <c r="L297" s="19" t="str">
        <f aca="false">IF($A297="","",IF($K297="","Needs ADU",IF($K297&lt;=0,"No recent demand",IF(N($D297)&lt;=0,"Needs lead time","Planned"))))</f>
        <v/>
      </c>
      <c r="M297" s="8" t="str">
        <f aca="false">IF($A297="","",IF(ISNUMBER(MATCH($C297,Profiles!$A$2:$A$100,0)),$C297,DefaultProfile))</f>
        <v/>
      </c>
      <c r="N297" s="20" t="str">
        <f aca="false">IF($A297="","",INDEX(Profiles!$D$2:$D$100,MATCH($M297,Profiles!$A$2:$A$100,0)))</f>
        <v/>
      </c>
      <c r="O297" s="20" t="str">
        <f aca="false">IF($A297="","",INDEX(Profiles!$E$2:$E$100,MATCH($M297,Profiles!$A$2:$A$100,0)))</f>
        <v/>
      </c>
      <c r="P297" s="21" t="str">
        <f aca="false">IF($L297&lt;&gt;"Planned","",$K297*$D297*$N297*(1+$O297))</f>
        <v/>
      </c>
      <c r="Q297" s="21" t="str">
        <f aca="false">IF($L297&lt;&gt;"Planned","",$K297*$D297)</f>
        <v/>
      </c>
      <c r="R297" s="21" t="str">
        <f aca="false">IF($L297&lt;&gt;"Planned","",MAX(N($E297),$K297*$D297*$N297,$K297*N($G297)))</f>
        <v/>
      </c>
      <c r="S297" s="21" t="str">
        <f aca="false">IF($L297&lt;&gt;"Planned","",$P297)</f>
        <v/>
      </c>
      <c r="T297" s="21" t="str">
        <f aca="false">IF($L297&lt;&gt;"Planned","",$P297+$Q297)</f>
        <v/>
      </c>
      <c r="U297" s="21" t="str">
        <f aca="false">IF($L297&lt;&gt;"Planned","",$T297+$R297)</f>
        <v/>
      </c>
      <c r="V297" s="8" t="str">
        <f aca="false">IF($A297="","",SUMIFS('Open supply'!$C:$C,'Open supply'!$A:$A,$AF297))</f>
        <v/>
      </c>
      <c r="W297" s="8" t="str">
        <f aca="false">IF($A297="","",SUMIFS('Open supply'!$C:$C,'Open supply'!$A:$A,$AF297,'Open supply'!$B:$B,"&lt;"&amp;PlanDate))</f>
        <v/>
      </c>
      <c r="X297" s="8" t="str">
        <f aca="false">IF($A297="","",SUMIFS('Open demand'!$G:$G,'Open demand'!$A:$A,$AF297))</f>
        <v/>
      </c>
      <c r="Y297" s="8" t="str">
        <f aca="false">IF($L297&lt;&gt;"Planned","",N($H297)+$V297-$X297)</f>
        <v/>
      </c>
      <c r="Z297" s="19" t="str">
        <f aca="false">IF($L297&lt;&gt;"Planned","",IF($Y297&lt;=$S297,"Red",IF($Y297&lt;=$T297,"Yellow",IF($Y297&lt;=$U297,"Green","Above green"))))</f>
        <v/>
      </c>
      <c r="AA297" s="22" t="str">
        <f aca="false">IF(OR($L297&lt;&gt;"Planned",N($U297)&lt;=0),"",$Y297/$U297)</f>
        <v/>
      </c>
      <c r="AB297" s="8" t="str">
        <f aca="false">IF($L297&lt;&gt;"Planned","",IF($Y297&lt;=$T297,ROUNDUP(MAX($U297-$Y297,N($E297))/IF(N($F297)&gt;0,$F297,1)-0.000000001,0)*IF(N($F297)&gt;0,$F297,1),""))</f>
        <v/>
      </c>
      <c r="AC297" s="23" t="str">
        <f aca="false">IF(N($AB297)&gt;0,PlanDate+ROUNDUP($D297,0),"")</f>
        <v/>
      </c>
      <c r="AD297" s="19" t="str">
        <f aca="false">IF($L297&lt;&gt;"Planned","",IF(N($H297)&lt;=0,"Stockout",IF(N($H297)&lt;$S297*0.5,"Critical",IF(N($H297)&lt;=$S297,"Low",IF(N($H297)&gt;$U297,"Over top of green","OK")))))</f>
        <v/>
      </c>
      <c r="AE297" s="8" t="str">
        <f aca="false">IF($A297="","",$A297&amp;"")</f>
        <v/>
      </c>
      <c r="AF297" s="8" t="str">
        <f aca="false">IF($A297="","",SUBSTITUTE(SUBSTITUTE(SUBSTITUTE($A297&amp;"","~","~~"),"*","~*"),"?","~?"))</f>
        <v/>
      </c>
    </row>
    <row r="298" customFormat="false" ht="15" hidden="false" customHeight="false" outlineLevel="0" collapsed="false">
      <c r="A298" s="11"/>
      <c r="B298" s="11"/>
      <c r="C298" s="11"/>
      <c r="D298" s="16"/>
      <c r="E298" s="11"/>
      <c r="F298" s="11"/>
      <c r="G298" s="9"/>
      <c r="H298" s="11"/>
      <c r="I298" s="17"/>
      <c r="J298" s="18" t="str">
        <f aca="false">IF($A298="","",IF(COUNT(Usage!$C:$C)=0,"",MAX(0,SUMIFS(Usage!$C:$C,Usage!$A:$A,$AF298,Usage!$B:$B,"&gt;="&amp;(PlanDate-AduWindow),Usage!$B:$B,"&lt;"&amp;PlanDate))/AduWindow))</f>
        <v/>
      </c>
      <c r="K298" s="18" t="str">
        <f aca="false">IF($A298="","",IF(AND(ISNUMBER($I298),N($I298)&gt;=0),$I298,$J298))</f>
        <v/>
      </c>
      <c r="L298" s="19" t="str">
        <f aca="false">IF($A298="","",IF($K298="","Needs ADU",IF($K298&lt;=0,"No recent demand",IF(N($D298)&lt;=0,"Needs lead time","Planned"))))</f>
        <v/>
      </c>
      <c r="M298" s="8" t="str">
        <f aca="false">IF($A298="","",IF(ISNUMBER(MATCH($C298,Profiles!$A$2:$A$100,0)),$C298,DefaultProfile))</f>
        <v/>
      </c>
      <c r="N298" s="20" t="str">
        <f aca="false">IF($A298="","",INDEX(Profiles!$D$2:$D$100,MATCH($M298,Profiles!$A$2:$A$100,0)))</f>
        <v/>
      </c>
      <c r="O298" s="20" t="str">
        <f aca="false">IF($A298="","",INDEX(Profiles!$E$2:$E$100,MATCH($M298,Profiles!$A$2:$A$100,0)))</f>
        <v/>
      </c>
      <c r="P298" s="21" t="str">
        <f aca="false">IF($L298&lt;&gt;"Planned","",$K298*$D298*$N298*(1+$O298))</f>
        <v/>
      </c>
      <c r="Q298" s="21" t="str">
        <f aca="false">IF($L298&lt;&gt;"Planned","",$K298*$D298)</f>
        <v/>
      </c>
      <c r="R298" s="21" t="str">
        <f aca="false">IF($L298&lt;&gt;"Planned","",MAX(N($E298),$K298*$D298*$N298,$K298*N($G298)))</f>
        <v/>
      </c>
      <c r="S298" s="21" t="str">
        <f aca="false">IF($L298&lt;&gt;"Planned","",$P298)</f>
        <v/>
      </c>
      <c r="T298" s="21" t="str">
        <f aca="false">IF($L298&lt;&gt;"Planned","",$P298+$Q298)</f>
        <v/>
      </c>
      <c r="U298" s="21" t="str">
        <f aca="false">IF($L298&lt;&gt;"Planned","",$T298+$R298)</f>
        <v/>
      </c>
      <c r="V298" s="8" t="str">
        <f aca="false">IF($A298="","",SUMIFS('Open supply'!$C:$C,'Open supply'!$A:$A,$AF298))</f>
        <v/>
      </c>
      <c r="W298" s="8" t="str">
        <f aca="false">IF($A298="","",SUMIFS('Open supply'!$C:$C,'Open supply'!$A:$A,$AF298,'Open supply'!$B:$B,"&lt;"&amp;PlanDate))</f>
        <v/>
      </c>
      <c r="X298" s="8" t="str">
        <f aca="false">IF($A298="","",SUMIFS('Open demand'!$G:$G,'Open demand'!$A:$A,$AF298))</f>
        <v/>
      </c>
      <c r="Y298" s="8" t="str">
        <f aca="false">IF($L298&lt;&gt;"Planned","",N($H298)+$V298-$X298)</f>
        <v/>
      </c>
      <c r="Z298" s="19" t="str">
        <f aca="false">IF($L298&lt;&gt;"Planned","",IF($Y298&lt;=$S298,"Red",IF($Y298&lt;=$T298,"Yellow",IF($Y298&lt;=$U298,"Green","Above green"))))</f>
        <v/>
      </c>
      <c r="AA298" s="22" t="str">
        <f aca="false">IF(OR($L298&lt;&gt;"Planned",N($U298)&lt;=0),"",$Y298/$U298)</f>
        <v/>
      </c>
      <c r="AB298" s="8" t="str">
        <f aca="false">IF($L298&lt;&gt;"Planned","",IF($Y298&lt;=$T298,ROUNDUP(MAX($U298-$Y298,N($E298))/IF(N($F298)&gt;0,$F298,1)-0.000000001,0)*IF(N($F298)&gt;0,$F298,1),""))</f>
        <v/>
      </c>
      <c r="AC298" s="23" t="str">
        <f aca="false">IF(N($AB298)&gt;0,PlanDate+ROUNDUP($D298,0),"")</f>
        <v/>
      </c>
      <c r="AD298" s="19" t="str">
        <f aca="false">IF($L298&lt;&gt;"Planned","",IF(N($H298)&lt;=0,"Stockout",IF(N($H298)&lt;$S298*0.5,"Critical",IF(N($H298)&lt;=$S298,"Low",IF(N($H298)&gt;$U298,"Over top of green","OK")))))</f>
        <v/>
      </c>
      <c r="AE298" s="8" t="str">
        <f aca="false">IF($A298="","",$A298&amp;"")</f>
        <v/>
      </c>
      <c r="AF298" s="8" t="str">
        <f aca="false">IF($A298="","",SUBSTITUTE(SUBSTITUTE(SUBSTITUTE($A298&amp;"","~","~~"),"*","~*"),"?","~?"))</f>
        <v/>
      </c>
    </row>
    <row r="299" customFormat="false" ht="15" hidden="false" customHeight="false" outlineLevel="0" collapsed="false">
      <c r="A299" s="11"/>
      <c r="B299" s="11"/>
      <c r="C299" s="11"/>
      <c r="D299" s="16"/>
      <c r="E299" s="11"/>
      <c r="F299" s="11"/>
      <c r="G299" s="9"/>
      <c r="H299" s="11"/>
      <c r="I299" s="17"/>
      <c r="J299" s="18" t="str">
        <f aca="false">IF($A299="","",IF(COUNT(Usage!$C:$C)=0,"",MAX(0,SUMIFS(Usage!$C:$C,Usage!$A:$A,$AF299,Usage!$B:$B,"&gt;="&amp;(PlanDate-AduWindow),Usage!$B:$B,"&lt;"&amp;PlanDate))/AduWindow))</f>
        <v/>
      </c>
      <c r="K299" s="18" t="str">
        <f aca="false">IF($A299="","",IF(AND(ISNUMBER($I299),N($I299)&gt;=0),$I299,$J299))</f>
        <v/>
      </c>
      <c r="L299" s="19" t="str">
        <f aca="false">IF($A299="","",IF($K299="","Needs ADU",IF($K299&lt;=0,"No recent demand",IF(N($D299)&lt;=0,"Needs lead time","Planned"))))</f>
        <v/>
      </c>
      <c r="M299" s="8" t="str">
        <f aca="false">IF($A299="","",IF(ISNUMBER(MATCH($C299,Profiles!$A$2:$A$100,0)),$C299,DefaultProfile))</f>
        <v/>
      </c>
      <c r="N299" s="20" t="str">
        <f aca="false">IF($A299="","",INDEX(Profiles!$D$2:$D$100,MATCH($M299,Profiles!$A$2:$A$100,0)))</f>
        <v/>
      </c>
      <c r="O299" s="20" t="str">
        <f aca="false">IF($A299="","",INDEX(Profiles!$E$2:$E$100,MATCH($M299,Profiles!$A$2:$A$100,0)))</f>
        <v/>
      </c>
      <c r="P299" s="21" t="str">
        <f aca="false">IF($L299&lt;&gt;"Planned","",$K299*$D299*$N299*(1+$O299))</f>
        <v/>
      </c>
      <c r="Q299" s="21" t="str">
        <f aca="false">IF($L299&lt;&gt;"Planned","",$K299*$D299)</f>
        <v/>
      </c>
      <c r="R299" s="21" t="str">
        <f aca="false">IF($L299&lt;&gt;"Planned","",MAX(N($E299),$K299*$D299*$N299,$K299*N($G299)))</f>
        <v/>
      </c>
      <c r="S299" s="21" t="str">
        <f aca="false">IF($L299&lt;&gt;"Planned","",$P299)</f>
        <v/>
      </c>
      <c r="T299" s="21" t="str">
        <f aca="false">IF($L299&lt;&gt;"Planned","",$P299+$Q299)</f>
        <v/>
      </c>
      <c r="U299" s="21" t="str">
        <f aca="false">IF($L299&lt;&gt;"Planned","",$T299+$R299)</f>
        <v/>
      </c>
      <c r="V299" s="8" t="str">
        <f aca="false">IF($A299="","",SUMIFS('Open supply'!$C:$C,'Open supply'!$A:$A,$AF299))</f>
        <v/>
      </c>
      <c r="W299" s="8" t="str">
        <f aca="false">IF($A299="","",SUMIFS('Open supply'!$C:$C,'Open supply'!$A:$A,$AF299,'Open supply'!$B:$B,"&lt;"&amp;PlanDate))</f>
        <v/>
      </c>
      <c r="X299" s="8" t="str">
        <f aca="false">IF($A299="","",SUMIFS('Open demand'!$G:$G,'Open demand'!$A:$A,$AF299))</f>
        <v/>
      </c>
      <c r="Y299" s="8" t="str">
        <f aca="false">IF($L299&lt;&gt;"Planned","",N($H299)+$V299-$X299)</f>
        <v/>
      </c>
      <c r="Z299" s="19" t="str">
        <f aca="false">IF($L299&lt;&gt;"Planned","",IF($Y299&lt;=$S299,"Red",IF($Y299&lt;=$T299,"Yellow",IF($Y299&lt;=$U299,"Green","Above green"))))</f>
        <v/>
      </c>
      <c r="AA299" s="22" t="str">
        <f aca="false">IF(OR($L299&lt;&gt;"Planned",N($U299)&lt;=0),"",$Y299/$U299)</f>
        <v/>
      </c>
      <c r="AB299" s="8" t="str">
        <f aca="false">IF($L299&lt;&gt;"Planned","",IF($Y299&lt;=$T299,ROUNDUP(MAX($U299-$Y299,N($E299))/IF(N($F299)&gt;0,$F299,1)-0.000000001,0)*IF(N($F299)&gt;0,$F299,1),""))</f>
        <v/>
      </c>
      <c r="AC299" s="23" t="str">
        <f aca="false">IF(N($AB299)&gt;0,PlanDate+ROUNDUP($D299,0),"")</f>
        <v/>
      </c>
      <c r="AD299" s="19" t="str">
        <f aca="false">IF($L299&lt;&gt;"Planned","",IF(N($H299)&lt;=0,"Stockout",IF(N($H299)&lt;$S299*0.5,"Critical",IF(N($H299)&lt;=$S299,"Low",IF(N($H299)&gt;$U299,"Over top of green","OK")))))</f>
        <v/>
      </c>
      <c r="AE299" s="8" t="str">
        <f aca="false">IF($A299="","",$A299&amp;"")</f>
        <v/>
      </c>
      <c r="AF299" s="8" t="str">
        <f aca="false">IF($A299="","",SUBSTITUTE(SUBSTITUTE(SUBSTITUTE($A299&amp;"","~","~~"),"*","~*"),"?","~?"))</f>
        <v/>
      </c>
    </row>
    <row r="300" customFormat="false" ht="15" hidden="false" customHeight="false" outlineLevel="0" collapsed="false">
      <c r="A300" s="11"/>
      <c r="B300" s="11"/>
      <c r="C300" s="11"/>
      <c r="D300" s="16"/>
      <c r="E300" s="11"/>
      <c r="F300" s="11"/>
      <c r="G300" s="9"/>
      <c r="H300" s="11"/>
      <c r="I300" s="17"/>
      <c r="J300" s="18" t="str">
        <f aca="false">IF($A300="","",IF(COUNT(Usage!$C:$C)=0,"",MAX(0,SUMIFS(Usage!$C:$C,Usage!$A:$A,$AF300,Usage!$B:$B,"&gt;="&amp;(PlanDate-AduWindow),Usage!$B:$B,"&lt;"&amp;PlanDate))/AduWindow))</f>
        <v/>
      </c>
      <c r="K300" s="18" t="str">
        <f aca="false">IF($A300="","",IF(AND(ISNUMBER($I300),N($I300)&gt;=0),$I300,$J300))</f>
        <v/>
      </c>
      <c r="L300" s="19" t="str">
        <f aca="false">IF($A300="","",IF($K300="","Needs ADU",IF($K300&lt;=0,"No recent demand",IF(N($D300)&lt;=0,"Needs lead time","Planned"))))</f>
        <v/>
      </c>
      <c r="M300" s="8" t="str">
        <f aca="false">IF($A300="","",IF(ISNUMBER(MATCH($C300,Profiles!$A$2:$A$100,0)),$C300,DefaultProfile))</f>
        <v/>
      </c>
      <c r="N300" s="20" t="str">
        <f aca="false">IF($A300="","",INDEX(Profiles!$D$2:$D$100,MATCH($M300,Profiles!$A$2:$A$100,0)))</f>
        <v/>
      </c>
      <c r="O300" s="20" t="str">
        <f aca="false">IF($A300="","",INDEX(Profiles!$E$2:$E$100,MATCH($M300,Profiles!$A$2:$A$100,0)))</f>
        <v/>
      </c>
      <c r="P300" s="21" t="str">
        <f aca="false">IF($L300&lt;&gt;"Planned","",$K300*$D300*$N300*(1+$O300))</f>
        <v/>
      </c>
      <c r="Q300" s="21" t="str">
        <f aca="false">IF($L300&lt;&gt;"Planned","",$K300*$D300)</f>
        <v/>
      </c>
      <c r="R300" s="21" t="str">
        <f aca="false">IF($L300&lt;&gt;"Planned","",MAX(N($E300),$K300*$D300*$N300,$K300*N($G300)))</f>
        <v/>
      </c>
      <c r="S300" s="21" t="str">
        <f aca="false">IF($L300&lt;&gt;"Planned","",$P300)</f>
        <v/>
      </c>
      <c r="T300" s="21" t="str">
        <f aca="false">IF($L300&lt;&gt;"Planned","",$P300+$Q300)</f>
        <v/>
      </c>
      <c r="U300" s="21" t="str">
        <f aca="false">IF($L300&lt;&gt;"Planned","",$T300+$R300)</f>
        <v/>
      </c>
      <c r="V300" s="8" t="str">
        <f aca="false">IF($A300="","",SUMIFS('Open supply'!$C:$C,'Open supply'!$A:$A,$AF300))</f>
        <v/>
      </c>
      <c r="W300" s="8" t="str">
        <f aca="false">IF($A300="","",SUMIFS('Open supply'!$C:$C,'Open supply'!$A:$A,$AF300,'Open supply'!$B:$B,"&lt;"&amp;PlanDate))</f>
        <v/>
      </c>
      <c r="X300" s="8" t="str">
        <f aca="false">IF($A300="","",SUMIFS('Open demand'!$G:$G,'Open demand'!$A:$A,$AF300))</f>
        <v/>
      </c>
      <c r="Y300" s="8" t="str">
        <f aca="false">IF($L300&lt;&gt;"Planned","",N($H300)+$V300-$X300)</f>
        <v/>
      </c>
      <c r="Z300" s="19" t="str">
        <f aca="false">IF($L300&lt;&gt;"Planned","",IF($Y300&lt;=$S300,"Red",IF($Y300&lt;=$T300,"Yellow",IF($Y300&lt;=$U300,"Green","Above green"))))</f>
        <v/>
      </c>
      <c r="AA300" s="22" t="str">
        <f aca="false">IF(OR($L300&lt;&gt;"Planned",N($U300)&lt;=0),"",$Y300/$U300)</f>
        <v/>
      </c>
      <c r="AB300" s="8" t="str">
        <f aca="false">IF($L300&lt;&gt;"Planned","",IF($Y300&lt;=$T300,ROUNDUP(MAX($U300-$Y300,N($E300))/IF(N($F300)&gt;0,$F300,1)-0.000000001,0)*IF(N($F300)&gt;0,$F300,1),""))</f>
        <v/>
      </c>
      <c r="AC300" s="23" t="str">
        <f aca="false">IF(N($AB300)&gt;0,PlanDate+ROUNDUP($D300,0),"")</f>
        <v/>
      </c>
      <c r="AD300" s="19" t="str">
        <f aca="false">IF($L300&lt;&gt;"Planned","",IF(N($H300)&lt;=0,"Stockout",IF(N($H300)&lt;$S300*0.5,"Critical",IF(N($H300)&lt;=$S300,"Low",IF(N($H300)&gt;$U300,"Over top of green","OK")))))</f>
        <v/>
      </c>
      <c r="AE300" s="8" t="str">
        <f aca="false">IF($A300="","",$A300&amp;"")</f>
        <v/>
      </c>
      <c r="AF300" s="8" t="str">
        <f aca="false">IF($A300="","",SUBSTITUTE(SUBSTITUTE(SUBSTITUTE($A300&amp;"","~","~~"),"*","~*"),"?","~?"))</f>
        <v/>
      </c>
    </row>
    <row r="301" customFormat="false" ht="15" hidden="false" customHeight="false" outlineLevel="0" collapsed="false">
      <c r="A301" s="11"/>
      <c r="B301" s="11"/>
      <c r="C301" s="11"/>
      <c r="D301" s="16"/>
      <c r="E301" s="11"/>
      <c r="F301" s="11"/>
      <c r="G301" s="9"/>
      <c r="H301" s="11"/>
      <c r="I301" s="17"/>
      <c r="J301" s="18" t="str">
        <f aca="false">IF($A301="","",IF(COUNT(Usage!$C:$C)=0,"",MAX(0,SUMIFS(Usage!$C:$C,Usage!$A:$A,$AF301,Usage!$B:$B,"&gt;="&amp;(PlanDate-AduWindow),Usage!$B:$B,"&lt;"&amp;PlanDate))/AduWindow))</f>
        <v/>
      </c>
      <c r="K301" s="18" t="str">
        <f aca="false">IF($A301="","",IF(AND(ISNUMBER($I301),N($I301)&gt;=0),$I301,$J301))</f>
        <v/>
      </c>
      <c r="L301" s="19" t="str">
        <f aca="false">IF($A301="","",IF($K301="","Needs ADU",IF($K301&lt;=0,"No recent demand",IF(N($D301)&lt;=0,"Needs lead time","Planned"))))</f>
        <v/>
      </c>
      <c r="M301" s="8" t="str">
        <f aca="false">IF($A301="","",IF(ISNUMBER(MATCH($C301,Profiles!$A$2:$A$100,0)),$C301,DefaultProfile))</f>
        <v/>
      </c>
      <c r="N301" s="20" t="str">
        <f aca="false">IF($A301="","",INDEX(Profiles!$D$2:$D$100,MATCH($M301,Profiles!$A$2:$A$100,0)))</f>
        <v/>
      </c>
      <c r="O301" s="20" t="str">
        <f aca="false">IF($A301="","",INDEX(Profiles!$E$2:$E$100,MATCH($M301,Profiles!$A$2:$A$100,0)))</f>
        <v/>
      </c>
      <c r="P301" s="21" t="str">
        <f aca="false">IF($L301&lt;&gt;"Planned","",$K301*$D301*$N301*(1+$O301))</f>
        <v/>
      </c>
      <c r="Q301" s="21" t="str">
        <f aca="false">IF($L301&lt;&gt;"Planned","",$K301*$D301)</f>
        <v/>
      </c>
      <c r="R301" s="21" t="str">
        <f aca="false">IF($L301&lt;&gt;"Planned","",MAX(N($E301),$K301*$D301*$N301,$K301*N($G301)))</f>
        <v/>
      </c>
      <c r="S301" s="21" t="str">
        <f aca="false">IF($L301&lt;&gt;"Planned","",$P301)</f>
        <v/>
      </c>
      <c r="T301" s="21" t="str">
        <f aca="false">IF($L301&lt;&gt;"Planned","",$P301+$Q301)</f>
        <v/>
      </c>
      <c r="U301" s="21" t="str">
        <f aca="false">IF($L301&lt;&gt;"Planned","",$T301+$R301)</f>
        <v/>
      </c>
      <c r="V301" s="8" t="str">
        <f aca="false">IF($A301="","",SUMIFS('Open supply'!$C:$C,'Open supply'!$A:$A,$AF301))</f>
        <v/>
      </c>
      <c r="W301" s="8" t="str">
        <f aca="false">IF($A301="","",SUMIFS('Open supply'!$C:$C,'Open supply'!$A:$A,$AF301,'Open supply'!$B:$B,"&lt;"&amp;PlanDate))</f>
        <v/>
      </c>
      <c r="X301" s="8" t="str">
        <f aca="false">IF($A301="","",SUMIFS('Open demand'!$G:$G,'Open demand'!$A:$A,$AF301))</f>
        <v/>
      </c>
      <c r="Y301" s="8" t="str">
        <f aca="false">IF($L301&lt;&gt;"Planned","",N($H301)+$V301-$X301)</f>
        <v/>
      </c>
      <c r="Z301" s="19" t="str">
        <f aca="false">IF($L301&lt;&gt;"Planned","",IF($Y301&lt;=$S301,"Red",IF($Y301&lt;=$T301,"Yellow",IF($Y301&lt;=$U301,"Green","Above green"))))</f>
        <v/>
      </c>
      <c r="AA301" s="22" t="str">
        <f aca="false">IF(OR($L301&lt;&gt;"Planned",N($U301)&lt;=0),"",$Y301/$U301)</f>
        <v/>
      </c>
      <c r="AB301" s="8" t="str">
        <f aca="false">IF($L301&lt;&gt;"Planned","",IF($Y301&lt;=$T301,ROUNDUP(MAX($U301-$Y301,N($E301))/IF(N($F301)&gt;0,$F301,1)-0.000000001,0)*IF(N($F301)&gt;0,$F301,1),""))</f>
        <v/>
      </c>
      <c r="AC301" s="23" t="str">
        <f aca="false">IF(N($AB301)&gt;0,PlanDate+ROUNDUP($D301,0),"")</f>
        <v/>
      </c>
      <c r="AD301" s="19" t="str">
        <f aca="false">IF($L301&lt;&gt;"Planned","",IF(N($H301)&lt;=0,"Stockout",IF(N($H301)&lt;$S301*0.5,"Critical",IF(N($H301)&lt;=$S301,"Low",IF(N($H301)&gt;$U301,"Over top of green","OK")))))</f>
        <v/>
      </c>
      <c r="AE301" s="8" t="str">
        <f aca="false">IF($A301="","",$A301&amp;"")</f>
        <v/>
      </c>
      <c r="AF301" s="8" t="str">
        <f aca="false">IF($A301="","",SUBSTITUTE(SUBSTITUTE(SUBSTITUTE($A301&amp;"","~","~~"),"*","~*"),"?","~?"))</f>
        <v/>
      </c>
    </row>
    <row r="302" customFormat="false" ht="15" hidden="false" customHeight="false" outlineLevel="0" collapsed="false">
      <c r="A302" s="11"/>
      <c r="B302" s="11"/>
      <c r="C302" s="11"/>
      <c r="D302" s="16"/>
      <c r="E302" s="11"/>
      <c r="F302" s="11"/>
      <c r="G302" s="9"/>
      <c r="H302" s="11"/>
      <c r="I302" s="17"/>
      <c r="J302" s="18" t="str">
        <f aca="false">IF($A302="","",IF(COUNT(Usage!$C:$C)=0,"",MAX(0,SUMIFS(Usage!$C:$C,Usage!$A:$A,$AF302,Usage!$B:$B,"&gt;="&amp;(PlanDate-AduWindow),Usage!$B:$B,"&lt;"&amp;PlanDate))/AduWindow))</f>
        <v/>
      </c>
      <c r="K302" s="18" t="str">
        <f aca="false">IF($A302="","",IF(AND(ISNUMBER($I302),N($I302)&gt;=0),$I302,$J302))</f>
        <v/>
      </c>
      <c r="L302" s="19" t="str">
        <f aca="false">IF($A302="","",IF($K302="","Needs ADU",IF($K302&lt;=0,"No recent demand",IF(N($D302)&lt;=0,"Needs lead time","Planned"))))</f>
        <v/>
      </c>
      <c r="M302" s="8" t="str">
        <f aca="false">IF($A302="","",IF(ISNUMBER(MATCH($C302,Profiles!$A$2:$A$100,0)),$C302,DefaultProfile))</f>
        <v/>
      </c>
      <c r="N302" s="20" t="str">
        <f aca="false">IF($A302="","",INDEX(Profiles!$D$2:$D$100,MATCH($M302,Profiles!$A$2:$A$100,0)))</f>
        <v/>
      </c>
      <c r="O302" s="20" t="str">
        <f aca="false">IF($A302="","",INDEX(Profiles!$E$2:$E$100,MATCH($M302,Profiles!$A$2:$A$100,0)))</f>
        <v/>
      </c>
      <c r="P302" s="21" t="str">
        <f aca="false">IF($L302&lt;&gt;"Planned","",$K302*$D302*$N302*(1+$O302))</f>
        <v/>
      </c>
      <c r="Q302" s="21" t="str">
        <f aca="false">IF($L302&lt;&gt;"Planned","",$K302*$D302)</f>
        <v/>
      </c>
      <c r="R302" s="21" t="str">
        <f aca="false">IF($L302&lt;&gt;"Planned","",MAX(N($E302),$K302*$D302*$N302,$K302*N($G302)))</f>
        <v/>
      </c>
      <c r="S302" s="21" t="str">
        <f aca="false">IF($L302&lt;&gt;"Planned","",$P302)</f>
        <v/>
      </c>
      <c r="T302" s="21" t="str">
        <f aca="false">IF($L302&lt;&gt;"Planned","",$P302+$Q302)</f>
        <v/>
      </c>
      <c r="U302" s="21" t="str">
        <f aca="false">IF($L302&lt;&gt;"Planned","",$T302+$R302)</f>
        <v/>
      </c>
      <c r="V302" s="8" t="str">
        <f aca="false">IF($A302="","",SUMIFS('Open supply'!$C:$C,'Open supply'!$A:$A,$AF302))</f>
        <v/>
      </c>
      <c r="W302" s="8" t="str">
        <f aca="false">IF($A302="","",SUMIFS('Open supply'!$C:$C,'Open supply'!$A:$A,$AF302,'Open supply'!$B:$B,"&lt;"&amp;PlanDate))</f>
        <v/>
      </c>
      <c r="X302" s="8" t="str">
        <f aca="false">IF($A302="","",SUMIFS('Open demand'!$G:$G,'Open demand'!$A:$A,$AF302))</f>
        <v/>
      </c>
      <c r="Y302" s="8" t="str">
        <f aca="false">IF($L302&lt;&gt;"Planned","",N($H302)+$V302-$X302)</f>
        <v/>
      </c>
      <c r="Z302" s="19" t="str">
        <f aca="false">IF($L302&lt;&gt;"Planned","",IF($Y302&lt;=$S302,"Red",IF($Y302&lt;=$T302,"Yellow",IF($Y302&lt;=$U302,"Green","Above green"))))</f>
        <v/>
      </c>
      <c r="AA302" s="22" t="str">
        <f aca="false">IF(OR($L302&lt;&gt;"Planned",N($U302)&lt;=0),"",$Y302/$U302)</f>
        <v/>
      </c>
      <c r="AB302" s="8" t="str">
        <f aca="false">IF($L302&lt;&gt;"Planned","",IF($Y302&lt;=$T302,ROUNDUP(MAX($U302-$Y302,N($E302))/IF(N($F302)&gt;0,$F302,1)-0.000000001,0)*IF(N($F302)&gt;0,$F302,1),""))</f>
        <v/>
      </c>
      <c r="AC302" s="23" t="str">
        <f aca="false">IF(N($AB302)&gt;0,PlanDate+ROUNDUP($D302,0),"")</f>
        <v/>
      </c>
      <c r="AD302" s="19" t="str">
        <f aca="false">IF($L302&lt;&gt;"Planned","",IF(N($H302)&lt;=0,"Stockout",IF(N($H302)&lt;$S302*0.5,"Critical",IF(N($H302)&lt;=$S302,"Low",IF(N($H302)&gt;$U302,"Over top of green","OK")))))</f>
        <v/>
      </c>
      <c r="AE302" s="8" t="str">
        <f aca="false">IF($A302="","",$A302&amp;"")</f>
        <v/>
      </c>
      <c r="AF302" s="8" t="str">
        <f aca="false">IF($A302="","",SUBSTITUTE(SUBSTITUTE(SUBSTITUTE($A302&amp;"","~","~~"),"*","~*"),"?","~?"))</f>
        <v/>
      </c>
    </row>
    <row r="303" customFormat="false" ht="15" hidden="false" customHeight="false" outlineLevel="0" collapsed="false">
      <c r="A303" s="11"/>
      <c r="B303" s="11"/>
      <c r="C303" s="11"/>
      <c r="D303" s="16"/>
      <c r="E303" s="11"/>
      <c r="F303" s="11"/>
      <c r="G303" s="9"/>
      <c r="H303" s="11"/>
      <c r="I303" s="17"/>
      <c r="J303" s="18" t="str">
        <f aca="false">IF($A303="","",IF(COUNT(Usage!$C:$C)=0,"",MAX(0,SUMIFS(Usage!$C:$C,Usage!$A:$A,$AF303,Usage!$B:$B,"&gt;="&amp;(PlanDate-AduWindow),Usage!$B:$B,"&lt;"&amp;PlanDate))/AduWindow))</f>
        <v/>
      </c>
      <c r="K303" s="18" t="str">
        <f aca="false">IF($A303="","",IF(AND(ISNUMBER($I303),N($I303)&gt;=0),$I303,$J303))</f>
        <v/>
      </c>
      <c r="L303" s="19" t="str">
        <f aca="false">IF($A303="","",IF($K303="","Needs ADU",IF($K303&lt;=0,"No recent demand",IF(N($D303)&lt;=0,"Needs lead time","Planned"))))</f>
        <v/>
      </c>
      <c r="M303" s="8" t="str">
        <f aca="false">IF($A303="","",IF(ISNUMBER(MATCH($C303,Profiles!$A$2:$A$100,0)),$C303,DefaultProfile))</f>
        <v/>
      </c>
      <c r="N303" s="20" t="str">
        <f aca="false">IF($A303="","",INDEX(Profiles!$D$2:$D$100,MATCH($M303,Profiles!$A$2:$A$100,0)))</f>
        <v/>
      </c>
      <c r="O303" s="20" t="str">
        <f aca="false">IF($A303="","",INDEX(Profiles!$E$2:$E$100,MATCH($M303,Profiles!$A$2:$A$100,0)))</f>
        <v/>
      </c>
      <c r="P303" s="21" t="str">
        <f aca="false">IF($L303&lt;&gt;"Planned","",$K303*$D303*$N303*(1+$O303))</f>
        <v/>
      </c>
      <c r="Q303" s="21" t="str">
        <f aca="false">IF($L303&lt;&gt;"Planned","",$K303*$D303)</f>
        <v/>
      </c>
      <c r="R303" s="21" t="str">
        <f aca="false">IF($L303&lt;&gt;"Planned","",MAX(N($E303),$K303*$D303*$N303,$K303*N($G303)))</f>
        <v/>
      </c>
      <c r="S303" s="21" t="str">
        <f aca="false">IF($L303&lt;&gt;"Planned","",$P303)</f>
        <v/>
      </c>
      <c r="T303" s="21" t="str">
        <f aca="false">IF($L303&lt;&gt;"Planned","",$P303+$Q303)</f>
        <v/>
      </c>
      <c r="U303" s="21" t="str">
        <f aca="false">IF($L303&lt;&gt;"Planned","",$T303+$R303)</f>
        <v/>
      </c>
      <c r="V303" s="8" t="str">
        <f aca="false">IF($A303="","",SUMIFS('Open supply'!$C:$C,'Open supply'!$A:$A,$AF303))</f>
        <v/>
      </c>
      <c r="W303" s="8" t="str">
        <f aca="false">IF($A303="","",SUMIFS('Open supply'!$C:$C,'Open supply'!$A:$A,$AF303,'Open supply'!$B:$B,"&lt;"&amp;PlanDate))</f>
        <v/>
      </c>
      <c r="X303" s="8" t="str">
        <f aca="false">IF($A303="","",SUMIFS('Open demand'!$G:$G,'Open demand'!$A:$A,$AF303))</f>
        <v/>
      </c>
      <c r="Y303" s="8" t="str">
        <f aca="false">IF($L303&lt;&gt;"Planned","",N($H303)+$V303-$X303)</f>
        <v/>
      </c>
      <c r="Z303" s="19" t="str">
        <f aca="false">IF($L303&lt;&gt;"Planned","",IF($Y303&lt;=$S303,"Red",IF($Y303&lt;=$T303,"Yellow",IF($Y303&lt;=$U303,"Green","Above green"))))</f>
        <v/>
      </c>
      <c r="AA303" s="22" t="str">
        <f aca="false">IF(OR($L303&lt;&gt;"Planned",N($U303)&lt;=0),"",$Y303/$U303)</f>
        <v/>
      </c>
      <c r="AB303" s="8" t="str">
        <f aca="false">IF($L303&lt;&gt;"Planned","",IF($Y303&lt;=$T303,ROUNDUP(MAX($U303-$Y303,N($E303))/IF(N($F303)&gt;0,$F303,1)-0.000000001,0)*IF(N($F303)&gt;0,$F303,1),""))</f>
        <v/>
      </c>
      <c r="AC303" s="23" t="str">
        <f aca="false">IF(N($AB303)&gt;0,PlanDate+ROUNDUP($D303,0),"")</f>
        <v/>
      </c>
      <c r="AD303" s="19" t="str">
        <f aca="false">IF($L303&lt;&gt;"Planned","",IF(N($H303)&lt;=0,"Stockout",IF(N($H303)&lt;$S303*0.5,"Critical",IF(N($H303)&lt;=$S303,"Low",IF(N($H303)&gt;$U303,"Over top of green","OK")))))</f>
        <v/>
      </c>
      <c r="AE303" s="8" t="str">
        <f aca="false">IF($A303="","",$A303&amp;"")</f>
        <v/>
      </c>
      <c r="AF303" s="8" t="str">
        <f aca="false">IF($A303="","",SUBSTITUTE(SUBSTITUTE(SUBSTITUTE($A303&amp;"","~","~~"),"*","~*"),"?","~?"))</f>
        <v/>
      </c>
    </row>
    <row r="304" customFormat="false" ht="15" hidden="false" customHeight="false" outlineLevel="0" collapsed="false">
      <c r="A304" s="11"/>
      <c r="B304" s="11"/>
      <c r="C304" s="11"/>
      <c r="D304" s="16"/>
      <c r="E304" s="11"/>
      <c r="F304" s="11"/>
      <c r="G304" s="9"/>
      <c r="H304" s="11"/>
      <c r="I304" s="17"/>
      <c r="J304" s="18" t="str">
        <f aca="false">IF($A304="","",IF(COUNT(Usage!$C:$C)=0,"",MAX(0,SUMIFS(Usage!$C:$C,Usage!$A:$A,$AF304,Usage!$B:$B,"&gt;="&amp;(PlanDate-AduWindow),Usage!$B:$B,"&lt;"&amp;PlanDate))/AduWindow))</f>
        <v/>
      </c>
      <c r="K304" s="18" t="str">
        <f aca="false">IF($A304="","",IF(AND(ISNUMBER($I304),N($I304)&gt;=0),$I304,$J304))</f>
        <v/>
      </c>
      <c r="L304" s="19" t="str">
        <f aca="false">IF($A304="","",IF($K304="","Needs ADU",IF($K304&lt;=0,"No recent demand",IF(N($D304)&lt;=0,"Needs lead time","Planned"))))</f>
        <v/>
      </c>
      <c r="M304" s="8" t="str">
        <f aca="false">IF($A304="","",IF(ISNUMBER(MATCH($C304,Profiles!$A$2:$A$100,0)),$C304,DefaultProfile))</f>
        <v/>
      </c>
      <c r="N304" s="20" t="str">
        <f aca="false">IF($A304="","",INDEX(Profiles!$D$2:$D$100,MATCH($M304,Profiles!$A$2:$A$100,0)))</f>
        <v/>
      </c>
      <c r="O304" s="20" t="str">
        <f aca="false">IF($A304="","",INDEX(Profiles!$E$2:$E$100,MATCH($M304,Profiles!$A$2:$A$100,0)))</f>
        <v/>
      </c>
      <c r="P304" s="21" t="str">
        <f aca="false">IF($L304&lt;&gt;"Planned","",$K304*$D304*$N304*(1+$O304))</f>
        <v/>
      </c>
      <c r="Q304" s="21" t="str">
        <f aca="false">IF($L304&lt;&gt;"Planned","",$K304*$D304)</f>
        <v/>
      </c>
      <c r="R304" s="21" t="str">
        <f aca="false">IF($L304&lt;&gt;"Planned","",MAX(N($E304),$K304*$D304*$N304,$K304*N($G304)))</f>
        <v/>
      </c>
      <c r="S304" s="21" t="str">
        <f aca="false">IF($L304&lt;&gt;"Planned","",$P304)</f>
        <v/>
      </c>
      <c r="T304" s="21" t="str">
        <f aca="false">IF($L304&lt;&gt;"Planned","",$P304+$Q304)</f>
        <v/>
      </c>
      <c r="U304" s="21" t="str">
        <f aca="false">IF($L304&lt;&gt;"Planned","",$T304+$R304)</f>
        <v/>
      </c>
      <c r="V304" s="8" t="str">
        <f aca="false">IF($A304="","",SUMIFS('Open supply'!$C:$C,'Open supply'!$A:$A,$AF304))</f>
        <v/>
      </c>
      <c r="W304" s="8" t="str">
        <f aca="false">IF($A304="","",SUMIFS('Open supply'!$C:$C,'Open supply'!$A:$A,$AF304,'Open supply'!$B:$B,"&lt;"&amp;PlanDate))</f>
        <v/>
      </c>
      <c r="X304" s="8" t="str">
        <f aca="false">IF($A304="","",SUMIFS('Open demand'!$G:$G,'Open demand'!$A:$A,$AF304))</f>
        <v/>
      </c>
      <c r="Y304" s="8" t="str">
        <f aca="false">IF($L304&lt;&gt;"Planned","",N($H304)+$V304-$X304)</f>
        <v/>
      </c>
      <c r="Z304" s="19" t="str">
        <f aca="false">IF($L304&lt;&gt;"Planned","",IF($Y304&lt;=$S304,"Red",IF($Y304&lt;=$T304,"Yellow",IF($Y304&lt;=$U304,"Green","Above green"))))</f>
        <v/>
      </c>
      <c r="AA304" s="22" t="str">
        <f aca="false">IF(OR($L304&lt;&gt;"Planned",N($U304)&lt;=0),"",$Y304/$U304)</f>
        <v/>
      </c>
      <c r="AB304" s="8" t="str">
        <f aca="false">IF($L304&lt;&gt;"Planned","",IF($Y304&lt;=$T304,ROUNDUP(MAX($U304-$Y304,N($E304))/IF(N($F304)&gt;0,$F304,1)-0.000000001,0)*IF(N($F304)&gt;0,$F304,1),""))</f>
        <v/>
      </c>
      <c r="AC304" s="23" t="str">
        <f aca="false">IF(N($AB304)&gt;0,PlanDate+ROUNDUP($D304,0),"")</f>
        <v/>
      </c>
      <c r="AD304" s="19" t="str">
        <f aca="false">IF($L304&lt;&gt;"Planned","",IF(N($H304)&lt;=0,"Stockout",IF(N($H304)&lt;$S304*0.5,"Critical",IF(N($H304)&lt;=$S304,"Low",IF(N($H304)&gt;$U304,"Over top of green","OK")))))</f>
        <v/>
      </c>
      <c r="AE304" s="8" t="str">
        <f aca="false">IF($A304="","",$A304&amp;"")</f>
        <v/>
      </c>
      <c r="AF304" s="8" t="str">
        <f aca="false">IF($A304="","",SUBSTITUTE(SUBSTITUTE(SUBSTITUTE($A304&amp;"","~","~~"),"*","~*"),"?","~?"))</f>
        <v/>
      </c>
    </row>
    <row r="305" customFormat="false" ht="15" hidden="false" customHeight="false" outlineLevel="0" collapsed="false">
      <c r="A305" s="11"/>
      <c r="B305" s="11"/>
      <c r="C305" s="11"/>
      <c r="D305" s="16"/>
      <c r="E305" s="11"/>
      <c r="F305" s="11"/>
      <c r="G305" s="9"/>
      <c r="H305" s="11"/>
      <c r="I305" s="17"/>
      <c r="J305" s="18" t="str">
        <f aca="false">IF($A305="","",IF(COUNT(Usage!$C:$C)=0,"",MAX(0,SUMIFS(Usage!$C:$C,Usage!$A:$A,$AF305,Usage!$B:$B,"&gt;="&amp;(PlanDate-AduWindow),Usage!$B:$B,"&lt;"&amp;PlanDate))/AduWindow))</f>
        <v/>
      </c>
      <c r="K305" s="18" t="str">
        <f aca="false">IF($A305="","",IF(AND(ISNUMBER($I305),N($I305)&gt;=0),$I305,$J305))</f>
        <v/>
      </c>
      <c r="L305" s="19" t="str">
        <f aca="false">IF($A305="","",IF($K305="","Needs ADU",IF($K305&lt;=0,"No recent demand",IF(N($D305)&lt;=0,"Needs lead time","Planned"))))</f>
        <v/>
      </c>
      <c r="M305" s="8" t="str">
        <f aca="false">IF($A305="","",IF(ISNUMBER(MATCH($C305,Profiles!$A$2:$A$100,0)),$C305,DefaultProfile))</f>
        <v/>
      </c>
      <c r="N305" s="20" t="str">
        <f aca="false">IF($A305="","",INDEX(Profiles!$D$2:$D$100,MATCH($M305,Profiles!$A$2:$A$100,0)))</f>
        <v/>
      </c>
      <c r="O305" s="20" t="str">
        <f aca="false">IF($A305="","",INDEX(Profiles!$E$2:$E$100,MATCH($M305,Profiles!$A$2:$A$100,0)))</f>
        <v/>
      </c>
      <c r="P305" s="21" t="str">
        <f aca="false">IF($L305&lt;&gt;"Planned","",$K305*$D305*$N305*(1+$O305))</f>
        <v/>
      </c>
      <c r="Q305" s="21" t="str">
        <f aca="false">IF($L305&lt;&gt;"Planned","",$K305*$D305)</f>
        <v/>
      </c>
      <c r="R305" s="21" t="str">
        <f aca="false">IF($L305&lt;&gt;"Planned","",MAX(N($E305),$K305*$D305*$N305,$K305*N($G305)))</f>
        <v/>
      </c>
      <c r="S305" s="21" t="str">
        <f aca="false">IF($L305&lt;&gt;"Planned","",$P305)</f>
        <v/>
      </c>
      <c r="T305" s="21" t="str">
        <f aca="false">IF($L305&lt;&gt;"Planned","",$P305+$Q305)</f>
        <v/>
      </c>
      <c r="U305" s="21" t="str">
        <f aca="false">IF($L305&lt;&gt;"Planned","",$T305+$R305)</f>
        <v/>
      </c>
      <c r="V305" s="8" t="str">
        <f aca="false">IF($A305="","",SUMIFS('Open supply'!$C:$C,'Open supply'!$A:$A,$AF305))</f>
        <v/>
      </c>
      <c r="W305" s="8" t="str">
        <f aca="false">IF($A305="","",SUMIFS('Open supply'!$C:$C,'Open supply'!$A:$A,$AF305,'Open supply'!$B:$B,"&lt;"&amp;PlanDate))</f>
        <v/>
      </c>
      <c r="X305" s="8" t="str">
        <f aca="false">IF($A305="","",SUMIFS('Open demand'!$G:$G,'Open demand'!$A:$A,$AF305))</f>
        <v/>
      </c>
      <c r="Y305" s="8" t="str">
        <f aca="false">IF($L305&lt;&gt;"Planned","",N($H305)+$V305-$X305)</f>
        <v/>
      </c>
      <c r="Z305" s="19" t="str">
        <f aca="false">IF($L305&lt;&gt;"Planned","",IF($Y305&lt;=$S305,"Red",IF($Y305&lt;=$T305,"Yellow",IF($Y305&lt;=$U305,"Green","Above green"))))</f>
        <v/>
      </c>
      <c r="AA305" s="22" t="str">
        <f aca="false">IF(OR($L305&lt;&gt;"Planned",N($U305)&lt;=0),"",$Y305/$U305)</f>
        <v/>
      </c>
      <c r="AB305" s="8" t="str">
        <f aca="false">IF($L305&lt;&gt;"Planned","",IF($Y305&lt;=$T305,ROUNDUP(MAX($U305-$Y305,N($E305))/IF(N($F305)&gt;0,$F305,1)-0.000000001,0)*IF(N($F305)&gt;0,$F305,1),""))</f>
        <v/>
      </c>
      <c r="AC305" s="23" t="str">
        <f aca="false">IF(N($AB305)&gt;0,PlanDate+ROUNDUP($D305,0),"")</f>
        <v/>
      </c>
      <c r="AD305" s="19" t="str">
        <f aca="false">IF($L305&lt;&gt;"Planned","",IF(N($H305)&lt;=0,"Stockout",IF(N($H305)&lt;$S305*0.5,"Critical",IF(N($H305)&lt;=$S305,"Low",IF(N($H305)&gt;$U305,"Over top of green","OK")))))</f>
        <v/>
      </c>
      <c r="AE305" s="8" t="str">
        <f aca="false">IF($A305="","",$A305&amp;"")</f>
        <v/>
      </c>
      <c r="AF305" s="8" t="str">
        <f aca="false">IF($A305="","",SUBSTITUTE(SUBSTITUTE(SUBSTITUTE($A305&amp;"","~","~~"),"*","~*"),"?","~?"))</f>
        <v/>
      </c>
    </row>
    <row r="306" customFormat="false" ht="15" hidden="false" customHeight="false" outlineLevel="0" collapsed="false">
      <c r="A306" s="11"/>
      <c r="B306" s="11"/>
      <c r="C306" s="11"/>
      <c r="D306" s="16"/>
      <c r="E306" s="11"/>
      <c r="F306" s="11"/>
      <c r="G306" s="9"/>
      <c r="H306" s="11"/>
      <c r="I306" s="17"/>
      <c r="J306" s="18" t="str">
        <f aca="false">IF($A306="","",IF(COUNT(Usage!$C:$C)=0,"",MAX(0,SUMIFS(Usage!$C:$C,Usage!$A:$A,$AF306,Usage!$B:$B,"&gt;="&amp;(PlanDate-AduWindow),Usage!$B:$B,"&lt;"&amp;PlanDate))/AduWindow))</f>
        <v/>
      </c>
      <c r="K306" s="18" t="str">
        <f aca="false">IF($A306="","",IF(AND(ISNUMBER($I306),N($I306)&gt;=0),$I306,$J306))</f>
        <v/>
      </c>
      <c r="L306" s="19" t="str">
        <f aca="false">IF($A306="","",IF($K306="","Needs ADU",IF($K306&lt;=0,"No recent demand",IF(N($D306)&lt;=0,"Needs lead time","Planned"))))</f>
        <v/>
      </c>
      <c r="M306" s="8" t="str">
        <f aca="false">IF($A306="","",IF(ISNUMBER(MATCH($C306,Profiles!$A$2:$A$100,0)),$C306,DefaultProfile))</f>
        <v/>
      </c>
      <c r="N306" s="20" t="str">
        <f aca="false">IF($A306="","",INDEX(Profiles!$D$2:$D$100,MATCH($M306,Profiles!$A$2:$A$100,0)))</f>
        <v/>
      </c>
      <c r="O306" s="20" t="str">
        <f aca="false">IF($A306="","",INDEX(Profiles!$E$2:$E$100,MATCH($M306,Profiles!$A$2:$A$100,0)))</f>
        <v/>
      </c>
      <c r="P306" s="21" t="str">
        <f aca="false">IF($L306&lt;&gt;"Planned","",$K306*$D306*$N306*(1+$O306))</f>
        <v/>
      </c>
      <c r="Q306" s="21" t="str">
        <f aca="false">IF($L306&lt;&gt;"Planned","",$K306*$D306)</f>
        <v/>
      </c>
      <c r="R306" s="21" t="str">
        <f aca="false">IF($L306&lt;&gt;"Planned","",MAX(N($E306),$K306*$D306*$N306,$K306*N($G306)))</f>
        <v/>
      </c>
      <c r="S306" s="21" t="str">
        <f aca="false">IF($L306&lt;&gt;"Planned","",$P306)</f>
        <v/>
      </c>
      <c r="T306" s="21" t="str">
        <f aca="false">IF($L306&lt;&gt;"Planned","",$P306+$Q306)</f>
        <v/>
      </c>
      <c r="U306" s="21" t="str">
        <f aca="false">IF($L306&lt;&gt;"Planned","",$T306+$R306)</f>
        <v/>
      </c>
      <c r="V306" s="8" t="str">
        <f aca="false">IF($A306="","",SUMIFS('Open supply'!$C:$C,'Open supply'!$A:$A,$AF306))</f>
        <v/>
      </c>
      <c r="W306" s="8" t="str">
        <f aca="false">IF($A306="","",SUMIFS('Open supply'!$C:$C,'Open supply'!$A:$A,$AF306,'Open supply'!$B:$B,"&lt;"&amp;PlanDate))</f>
        <v/>
      </c>
      <c r="X306" s="8" t="str">
        <f aca="false">IF($A306="","",SUMIFS('Open demand'!$G:$G,'Open demand'!$A:$A,$AF306))</f>
        <v/>
      </c>
      <c r="Y306" s="8" t="str">
        <f aca="false">IF($L306&lt;&gt;"Planned","",N($H306)+$V306-$X306)</f>
        <v/>
      </c>
      <c r="Z306" s="19" t="str">
        <f aca="false">IF($L306&lt;&gt;"Planned","",IF($Y306&lt;=$S306,"Red",IF($Y306&lt;=$T306,"Yellow",IF($Y306&lt;=$U306,"Green","Above green"))))</f>
        <v/>
      </c>
      <c r="AA306" s="22" t="str">
        <f aca="false">IF(OR($L306&lt;&gt;"Planned",N($U306)&lt;=0),"",$Y306/$U306)</f>
        <v/>
      </c>
      <c r="AB306" s="8" t="str">
        <f aca="false">IF($L306&lt;&gt;"Planned","",IF($Y306&lt;=$T306,ROUNDUP(MAX($U306-$Y306,N($E306))/IF(N($F306)&gt;0,$F306,1)-0.000000001,0)*IF(N($F306)&gt;0,$F306,1),""))</f>
        <v/>
      </c>
      <c r="AC306" s="23" t="str">
        <f aca="false">IF(N($AB306)&gt;0,PlanDate+ROUNDUP($D306,0),"")</f>
        <v/>
      </c>
      <c r="AD306" s="19" t="str">
        <f aca="false">IF($L306&lt;&gt;"Planned","",IF(N($H306)&lt;=0,"Stockout",IF(N($H306)&lt;$S306*0.5,"Critical",IF(N($H306)&lt;=$S306,"Low",IF(N($H306)&gt;$U306,"Over top of green","OK")))))</f>
        <v/>
      </c>
      <c r="AE306" s="8" t="str">
        <f aca="false">IF($A306="","",$A306&amp;"")</f>
        <v/>
      </c>
      <c r="AF306" s="8" t="str">
        <f aca="false">IF($A306="","",SUBSTITUTE(SUBSTITUTE(SUBSTITUTE($A306&amp;"","~","~~"),"*","~*"),"?","~?"))</f>
        <v/>
      </c>
    </row>
    <row r="307" customFormat="false" ht="15" hidden="false" customHeight="false" outlineLevel="0" collapsed="false">
      <c r="A307" s="11"/>
      <c r="B307" s="11"/>
      <c r="C307" s="11"/>
      <c r="D307" s="16"/>
      <c r="E307" s="11"/>
      <c r="F307" s="11"/>
      <c r="G307" s="9"/>
      <c r="H307" s="11"/>
      <c r="I307" s="17"/>
      <c r="J307" s="18" t="str">
        <f aca="false">IF($A307="","",IF(COUNT(Usage!$C:$C)=0,"",MAX(0,SUMIFS(Usage!$C:$C,Usage!$A:$A,$AF307,Usage!$B:$B,"&gt;="&amp;(PlanDate-AduWindow),Usage!$B:$B,"&lt;"&amp;PlanDate))/AduWindow))</f>
        <v/>
      </c>
      <c r="K307" s="18" t="str">
        <f aca="false">IF($A307="","",IF(AND(ISNUMBER($I307),N($I307)&gt;=0),$I307,$J307))</f>
        <v/>
      </c>
      <c r="L307" s="19" t="str">
        <f aca="false">IF($A307="","",IF($K307="","Needs ADU",IF($K307&lt;=0,"No recent demand",IF(N($D307)&lt;=0,"Needs lead time","Planned"))))</f>
        <v/>
      </c>
      <c r="M307" s="8" t="str">
        <f aca="false">IF($A307="","",IF(ISNUMBER(MATCH($C307,Profiles!$A$2:$A$100,0)),$C307,DefaultProfile))</f>
        <v/>
      </c>
      <c r="N307" s="20" t="str">
        <f aca="false">IF($A307="","",INDEX(Profiles!$D$2:$D$100,MATCH($M307,Profiles!$A$2:$A$100,0)))</f>
        <v/>
      </c>
      <c r="O307" s="20" t="str">
        <f aca="false">IF($A307="","",INDEX(Profiles!$E$2:$E$100,MATCH($M307,Profiles!$A$2:$A$100,0)))</f>
        <v/>
      </c>
      <c r="P307" s="21" t="str">
        <f aca="false">IF($L307&lt;&gt;"Planned","",$K307*$D307*$N307*(1+$O307))</f>
        <v/>
      </c>
      <c r="Q307" s="21" t="str">
        <f aca="false">IF($L307&lt;&gt;"Planned","",$K307*$D307)</f>
        <v/>
      </c>
      <c r="R307" s="21" t="str">
        <f aca="false">IF($L307&lt;&gt;"Planned","",MAX(N($E307),$K307*$D307*$N307,$K307*N($G307)))</f>
        <v/>
      </c>
      <c r="S307" s="21" t="str">
        <f aca="false">IF($L307&lt;&gt;"Planned","",$P307)</f>
        <v/>
      </c>
      <c r="T307" s="21" t="str">
        <f aca="false">IF($L307&lt;&gt;"Planned","",$P307+$Q307)</f>
        <v/>
      </c>
      <c r="U307" s="21" t="str">
        <f aca="false">IF($L307&lt;&gt;"Planned","",$T307+$R307)</f>
        <v/>
      </c>
      <c r="V307" s="8" t="str">
        <f aca="false">IF($A307="","",SUMIFS('Open supply'!$C:$C,'Open supply'!$A:$A,$AF307))</f>
        <v/>
      </c>
      <c r="W307" s="8" t="str">
        <f aca="false">IF($A307="","",SUMIFS('Open supply'!$C:$C,'Open supply'!$A:$A,$AF307,'Open supply'!$B:$B,"&lt;"&amp;PlanDate))</f>
        <v/>
      </c>
      <c r="X307" s="8" t="str">
        <f aca="false">IF($A307="","",SUMIFS('Open demand'!$G:$G,'Open demand'!$A:$A,$AF307))</f>
        <v/>
      </c>
      <c r="Y307" s="8" t="str">
        <f aca="false">IF($L307&lt;&gt;"Planned","",N($H307)+$V307-$X307)</f>
        <v/>
      </c>
      <c r="Z307" s="19" t="str">
        <f aca="false">IF($L307&lt;&gt;"Planned","",IF($Y307&lt;=$S307,"Red",IF($Y307&lt;=$T307,"Yellow",IF($Y307&lt;=$U307,"Green","Above green"))))</f>
        <v/>
      </c>
      <c r="AA307" s="22" t="str">
        <f aca="false">IF(OR($L307&lt;&gt;"Planned",N($U307)&lt;=0),"",$Y307/$U307)</f>
        <v/>
      </c>
      <c r="AB307" s="8" t="str">
        <f aca="false">IF($L307&lt;&gt;"Planned","",IF($Y307&lt;=$T307,ROUNDUP(MAX($U307-$Y307,N($E307))/IF(N($F307)&gt;0,$F307,1)-0.000000001,0)*IF(N($F307)&gt;0,$F307,1),""))</f>
        <v/>
      </c>
      <c r="AC307" s="23" t="str">
        <f aca="false">IF(N($AB307)&gt;0,PlanDate+ROUNDUP($D307,0),"")</f>
        <v/>
      </c>
      <c r="AD307" s="19" t="str">
        <f aca="false">IF($L307&lt;&gt;"Planned","",IF(N($H307)&lt;=0,"Stockout",IF(N($H307)&lt;$S307*0.5,"Critical",IF(N($H307)&lt;=$S307,"Low",IF(N($H307)&gt;$U307,"Over top of green","OK")))))</f>
        <v/>
      </c>
      <c r="AE307" s="8" t="str">
        <f aca="false">IF($A307="","",$A307&amp;"")</f>
        <v/>
      </c>
      <c r="AF307" s="8" t="str">
        <f aca="false">IF($A307="","",SUBSTITUTE(SUBSTITUTE(SUBSTITUTE($A307&amp;"","~","~~"),"*","~*"),"?","~?"))</f>
        <v/>
      </c>
    </row>
    <row r="308" customFormat="false" ht="15" hidden="false" customHeight="false" outlineLevel="0" collapsed="false">
      <c r="A308" s="11"/>
      <c r="B308" s="11"/>
      <c r="C308" s="11"/>
      <c r="D308" s="16"/>
      <c r="E308" s="11"/>
      <c r="F308" s="11"/>
      <c r="G308" s="9"/>
      <c r="H308" s="11"/>
      <c r="I308" s="17"/>
      <c r="J308" s="18" t="str">
        <f aca="false">IF($A308="","",IF(COUNT(Usage!$C:$C)=0,"",MAX(0,SUMIFS(Usage!$C:$C,Usage!$A:$A,$AF308,Usage!$B:$B,"&gt;="&amp;(PlanDate-AduWindow),Usage!$B:$B,"&lt;"&amp;PlanDate))/AduWindow))</f>
        <v/>
      </c>
      <c r="K308" s="18" t="str">
        <f aca="false">IF($A308="","",IF(AND(ISNUMBER($I308),N($I308)&gt;=0),$I308,$J308))</f>
        <v/>
      </c>
      <c r="L308" s="19" t="str">
        <f aca="false">IF($A308="","",IF($K308="","Needs ADU",IF($K308&lt;=0,"No recent demand",IF(N($D308)&lt;=0,"Needs lead time","Planned"))))</f>
        <v/>
      </c>
      <c r="M308" s="8" t="str">
        <f aca="false">IF($A308="","",IF(ISNUMBER(MATCH($C308,Profiles!$A$2:$A$100,0)),$C308,DefaultProfile))</f>
        <v/>
      </c>
      <c r="N308" s="20" t="str">
        <f aca="false">IF($A308="","",INDEX(Profiles!$D$2:$D$100,MATCH($M308,Profiles!$A$2:$A$100,0)))</f>
        <v/>
      </c>
      <c r="O308" s="20" t="str">
        <f aca="false">IF($A308="","",INDEX(Profiles!$E$2:$E$100,MATCH($M308,Profiles!$A$2:$A$100,0)))</f>
        <v/>
      </c>
      <c r="P308" s="21" t="str">
        <f aca="false">IF($L308&lt;&gt;"Planned","",$K308*$D308*$N308*(1+$O308))</f>
        <v/>
      </c>
      <c r="Q308" s="21" t="str">
        <f aca="false">IF($L308&lt;&gt;"Planned","",$K308*$D308)</f>
        <v/>
      </c>
      <c r="R308" s="21" t="str">
        <f aca="false">IF($L308&lt;&gt;"Planned","",MAX(N($E308),$K308*$D308*$N308,$K308*N($G308)))</f>
        <v/>
      </c>
      <c r="S308" s="21" t="str">
        <f aca="false">IF($L308&lt;&gt;"Planned","",$P308)</f>
        <v/>
      </c>
      <c r="T308" s="21" t="str">
        <f aca="false">IF($L308&lt;&gt;"Planned","",$P308+$Q308)</f>
        <v/>
      </c>
      <c r="U308" s="21" t="str">
        <f aca="false">IF($L308&lt;&gt;"Planned","",$T308+$R308)</f>
        <v/>
      </c>
      <c r="V308" s="8" t="str">
        <f aca="false">IF($A308="","",SUMIFS('Open supply'!$C:$C,'Open supply'!$A:$A,$AF308))</f>
        <v/>
      </c>
      <c r="W308" s="8" t="str">
        <f aca="false">IF($A308="","",SUMIFS('Open supply'!$C:$C,'Open supply'!$A:$A,$AF308,'Open supply'!$B:$B,"&lt;"&amp;PlanDate))</f>
        <v/>
      </c>
      <c r="X308" s="8" t="str">
        <f aca="false">IF($A308="","",SUMIFS('Open demand'!$G:$G,'Open demand'!$A:$A,$AF308))</f>
        <v/>
      </c>
      <c r="Y308" s="8" t="str">
        <f aca="false">IF($L308&lt;&gt;"Planned","",N($H308)+$V308-$X308)</f>
        <v/>
      </c>
      <c r="Z308" s="19" t="str">
        <f aca="false">IF($L308&lt;&gt;"Planned","",IF($Y308&lt;=$S308,"Red",IF($Y308&lt;=$T308,"Yellow",IF($Y308&lt;=$U308,"Green","Above green"))))</f>
        <v/>
      </c>
      <c r="AA308" s="22" t="str">
        <f aca="false">IF(OR($L308&lt;&gt;"Planned",N($U308)&lt;=0),"",$Y308/$U308)</f>
        <v/>
      </c>
      <c r="AB308" s="8" t="str">
        <f aca="false">IF($L308&lt;&gt;"Planned","",IF($Y308&lt;=$T308,ROUNDUP(MAX($U308-$Y308,N($E308))/IF(N($F308)&gt;0,$F308,1)-0.000000001,0)*IF(N($F308)&gt;0,$F308,1),""))</f>
        <v/>
      </c>
      <c r="AC308" s="23" t="str">
        <f aca="false">IF(N($AB308)&gt;0,PlanDate+ROUNDUP($D308,0),"")</f>
        <v/>
      </c>
      <c r="AD308" s="19" t="str">
        <f aca="false">IF($L308&lt;&gt;"Planned","",IF(N($H308)&lt;=0,"Stockout",IF(N($H308)&lt;$S308*0.5,"Critical",IF(N($H308)&lt;=$S308,"Low",IF(N($H308)&gt;$U308,"Over top of green","OK")))))</f>
        <v/>
      </c>
      <c r="AE308" s="8" t="str">
        <f aca="false">IF($A308="","",$A308&amp;"")</f>
        <v/>
      </c>
      <c r="AF308" s="8" t="str">
        <f aca="false">IF($A308="","",SUBSTITUTE(SUBSTITUTE(SUBSTITUTE($A308&amp;"","~","~~"),"*","~*"),"?","~?"))</f>
        <v/>
      </c>
    </row>
    <row r="309" customFormat="false" ht="15" hidden="false" customHeight="false" outlineLevel="0" collapsed="false">
      <c r="A309" s="11"/>
      <c r="B309" s="11"/>
      <c r="C309" s="11"/>
      <c r="D309" s="16"/>
      <c r="E309" s="11"/>
      <c r="F309" s="11"/>
      <c r="G309" s="9"/>
      <c r="H309" s="11"/>
      <c r="I309" s="17"/>
      <c r="J309" s="18" t="str">
        <f aca="false">IF($A309="","",IF(COUNT(Usage!$C:$C)=0,"",MAX(0,SUMIFS(Usage!$C:$C,Usage!$A:$A,$AF309,Usage!$B:$B,"&gt;="&amp;(PlanDate-AduWindow),Usage!$B:$B,"&lt;"&amp;PlanDate))/AduWindow))</f>
        <v/>
      </c>
      <c r="K309" s="18" t="str">
        <f aca="false">IF($A309="","",IF(AND(ISNUMBER($I309),N($I309)&gt;=0),$I309,$J309))</f>
        <v/>
      </c>
      <c r="L309" s="19" t="str">
        <f aca="false">IF($A309="","",IF($K309="","Needs ADU",IF($K309&lt;=0,"No recent demand",IF(N($D309)&lt;=0,"Needs lead time","Planned"))))</f>
        <v/>
      </c>
      <c r="M309" s="8" t="str">
        <f aca="false">IF($A309="","",IF(ISNUMBER(MATCH($C309,Profiles!$A$2:$A$100,0)),$C309,DefaultProfile))</f>
        <v/>
      </c>
      <c r="N309" s="20" t="str">
        <f aca="false">IF($A309="","",INDEX(Profiles!$D$2:$D$100,MATCH($M309,Profiles!$A$2:$A$100,0)))</f>
        <v/>
      </c>
      <c r="O309" s="20" t="str">
        <f aca="false">IF($A309="","",INDEX(Profiles!$E$2:$E$100,MATCH($M309,Profiles!$A$2:$A$100,0)))</f>
        <v/>
      </c>
      <c r="P309" s="21" t="str">
        <f aca="false">IF($L309&lt;&gt;"Planned","",$K309*$D309*$N309*(1+$O309))</f>
        <v/>
      </c>
      <c r="Q309" s="21" t="str">
        <f aca="false">IF($L309&lt;&gt;"Planned","",$K309*$D309)</f>
        <v/>
      </c>
      <c r="R309" s="21" t="str">
        <f aca="false">IF($L309&lt;&gt;"Planned","",MAX(N($E309),$K309*$D309*$N309,$K309*N($G309)))</f>
        <v/>
      </c>
      <c r="S309" s="21" t="str">
        <f aca="false">IF($L309&lt;&gt;"Planned","",$P309)</f>
        <v/>
      </c>
      <c r="T309" s="21" t="str">
        <f aca="false">IF($L309&lt;&gt;"Planned","",$P309+$Q309)</f>
        <v/>
      </c>
      <c r="U309" s="21" t="str">
        <f aca="false">IF($L309&lt;&gt;"Planned","",$T309+$R309)</f>
        <v/>
      </c>
      <c r="V309" s="8" t="str">
        <f aca="false">IF($A309="","",SUMIFS('Open supply'!$C:$C,'Open supply'!$A:$A,$AF309))</f>
        <v/>
      </c>
      <c r="W309" s="8" t="str">
        <f aca="false">IF($A309="","",SUMIFS('Open supply'!$C:$C,'Open supply'!$A:$A,$AF309,'Open supply'!$B:$B,"&lt;"&amp;PlanDate))</f>
        <v/>
      </c>
      <c r="X309" s="8" t="str">
        <f aca="false">IF($A309="","",SUMIFS('Open demand'!$G:$G,'Open demand'!$A:$A,$AF309))</f>
        <v/>
      </c>
      <c r="Y309" s="8" t="str">
        <f aca="false">IF($L309&lt;&gt;"Planned","",N($H309)+$V309-$X309)</f>
        <v/>
      </c>
      <c r="Z309" s="19" t="str">
        <f aca="false">IF($L309&lt;&gt;"Planned","",IF($Y309&lt;=$S309,"Red",IF($Y309&lt;=$T309,"Yellow",IF($Y309&lt;=$U309,"Green","Above green"))))</f>
        <v/>
      </c>
      <c r="AA309" s="22" t="str">
        <f aca="false">IF(OR($L309&lt;&gt;"Planned",N($U309)&lt;=0),"",$Y309/$U309)</f>
        <v/>
      </c>
      <c r="AB309" s="8" t="str">
        <f aca="false">IF($L309&lt;&gt;"Planned","",IF($Y309&lt;=$T309,ROUNDUP(MAX($U309-$Y309,N($E309))/IF(N($F309)&gt;0,$F309,1)-0.000000001,0)*IF(N($F309)&gt;0,$F309,1),""))</f>
        <v/>
      </c>
      <c r="AC309" s="23" t="str">
        <f aca="false">IF(N($AB309)&gt;0,PlanDate+ROUNDUP($D309,0),"")</f>
        <v/>
      </c>
      <c r="AD309" s="19" t="str">
        <f aca="false">IF($L309&lt;&gt;"Planned","",IF(N($H309)&lt;=0,"Stockout",IF(N($H309)&lt;$S309*0.5,"Critical",IF(N($H309)&lt;=$S309,"Low",IF(N($H309)&gt;$U309,"Over top of green","OK")))))</f>
        <v/>
      </c>
      <c r="AE309" s="8" t="str">
        <f aca="false">IF($A309="","",$A309&amp;"")</f>
        <v/>
      </c>
      <c r="AF309" s="8" t="str">
        <f aca="false">IF($A309="","",SUBSTITUTE(SUBSTITUTE(SUBSTITUTE($A309&amp;"","~","~~"),"*","~*"),"?","~?"))</f>
        <v/>
      </c>
    </row>
    <row r="310" customFormat="false" ht="15" hidden="false" customHeight="false" outlineLevel="0" collapsed="false">
      <c r="A310" s="11"/>
      <c r="B310" s="11"/>
      <c r="C310" s="11"/>
      <c r="D310" s="16"/>
      <c r="E310" s="11"/>
      <c r="F310" s="11"/>
      <c r="G310" s="9"/>
      <c r="H310" s="11"/>
      <c r="I310" s="17"/>
      <c r="J310" s="18" t="str">
        <f aca="false">IF($A310="","",IF(COUNT(Usage!$C:$C)=0,"",MAX(0,SUMIFS(Usage!$C:$C,Usage!$A:$A,$AF310,Usage!$B:$B,"&gt;="&amp;(PlanDate-AduWindow),Usage!$B:$B,"&lt;"&amp;PlanDate))/AduWindow))</f>
        <v/>
      </c>
      <c r="K310" s="18" t="str">
        <f aca="false">IF($A310="","",IF(AND(ISNUMBER($I310),N($I310)&gt;=0),$I310,$J310))</f>
        <v/>
      </c>
      <c r="L310" s="19" t="str">
        <f aca="false">IF($A310="","",IF($K310="","Needs ADU",IF($K310&lt;=0,"No recent demand",IF(N($D310)&lt;=0,"Needs lead time","Planned"))))</f>
        <v/>
      </c>
      <c r="M310" s="8" t="str">
        <f aca="false">IF($A310="","",IF(ISNUMBER(MATCH($C310,Profiles!$A$2:$A$100,0)),$C310,DefaultProfile))</f>
        <v/>
      </c>
      <c r="N310" s="20" t="str">
        <f aca="false">IF($A310="","",INDEX(Profiles!$D$2:$D$100,MATCH($M310,Profiles!$A$2:$A$100,0)))</f>
        <v/>
      </c>
      <c r="O310" s="20" t="str">
        <f aca="false">IF($A310="","",INDEX(Profiles!$E$2:$E$100,MATCH($M310,Profiles!$A$2:$A$100,0)))</f>
        <v/>
      </c>
      <c r="P310" s="21" t="str">
        <f aca="false">IF($L310&lt;&gt;"Planned","",$K310*$D310*$N310*(1+$O310))</f>
        <v/>
      </c>
      <c r="Q310" s="21" t="str">
        <f aca="false">IF($L310&lt;&gt;"Planned","",$K310*$D310)</f>
        <v/>
      </c>
      <c r="R310" s="21" t="str">
        <f aca="false">IF($L310&lt;&gt;"Planned","",MAX(N($E310),$K310*$D310*$N310,$K310*N($G310)))</f>
        <v/>
      </c>
      <c r="S310" s="21" t="str">
        <f aca="false">IF($L310&lt;&gt;"Planned","",$P310)</f>
        <v/>
      </c>
      <c r="T310" s="21" t="str">
        <f aca="false">IF($L310&lt;&gt;"Planned","",$P310+$Q310)</f>
        <v/>
      </c>
      <c r="U310" s="21" t="str">
        <f aca="false">IF($L310&lt;&gt;"Planned","",$T310+$R310)</f>
        <v/>
      </c>
      <c r="V310" s="8" t="str">
        <f aca="false">IF($A310="","",SUMIFS('Open supply'!$C:$C,'Open supply'!$A:$A,$AF310))</f>
        <v/>
      </c>
      <c r="W310" s="8" t="str">
        <f aca="false">IF($A310="","",SUMIFS('Open supply'!$C:$C,'Open supply'!$A:$A,$AF310,'Open supply'!$B:$B,"&lt;"&amp;PlanDate))</f>
        <v/>
      </c>
      <c r="X310" s="8" t="str">
        <f aca="false">IF($A310="","",SUMIFS('Open demand'!$G:$G,'Open demand'!$A:$A,$AF310))</f>
        <v/>
      </c>
      <c r="Y310" s="8" t="str">
        <f aca="false">IF($L310&lt;&gt;"Planned","",N($H310)+$V310-$X310)</f>
        <v/>
      </c>
      <c r="Z310" s="19" t="str">
        <f aca="false">IF($L310&lt;&gt;"Planned","",IF($Y310&lt;=$S310,"Red",IF($Y310&lt;=$T310,"Yellow",IF($Y310&lt;=$U310,"Green","Above green"))))</f>
        <v/>
      </c>
      <c r="AA310" s="22" t="str">
        <f aca="false">IF(OR($L310&lt;&gt;"Planned",N($U310)&lt;=0),"",$Y310/$U310)</f>
        <v/>
      </c>
      <c r="AB310" s="8" t="str">
        <f aca="false">IF($L310&lt;&gt;"Planned","",IF($Y310&lt;=$T310,ROUNDUP(MAX($U310-$Y310,N($E310))/IF(N($F310)&gt;0,$F310,1)-0.000000001,0)*IF(N($F310)&gt;0,$F310,1),""))</f>
        <v/>
      </c>
      <c r="AC310" s="23" t="str">
        <f aca="false">IF(N($AB310)&gt;0,PlanDate+ROUNDUP($D310,0),"")</f>
        <v/>
      </c>
      <c r="AD310" s="19" t="str">
        <f aca="false">IF($L310&lt;&gt;"Planned","",IF(N($H310)&lt;=0,"Stockout",IF(N($H310)&lt;$S310*0.5,"Critical",IF(N($H310)&lt;=$S310,"Low",IF(N($H310)&gt;$U310,"Over top of green","OK")))))</f>
        <v/>
      </c>
      <c r="AE310" s="8" t="str">
        <f aca="false">IF($A310="","",$A310&amp;"")</f>
        <v/>
      </c>
      <c r="AF310" s="8" t="str">
        <f aca="false">IF($A310="","",SUBSTITUTE(SUBSTITUTE(SUBSTITUTE($A310&amp;"","~","~~"),"*","~*"),"?","~?"))</f>
        <v/>
      </c>
    </row>
    <row r="311" customFormat="false" ht="15" hidden="false" customHeight="false" outlineLevel="0" collapsed="false">
      <c r="A311" s="11"/>
      <c r="B311" s="11"/>
      <c r="C311" s="11"/>
      <c r="D311" s="16"/>
      <c r="E311" s="11"/>
      <c r="F311" s="11"/>
      <c r="G311" s="9"/>
      <c r="H311" s="11"/>
      <c r="I311" s="17"/>
      <c r="J311" s="18" t="str">
        <f aca="false">IF($A311="","",IF(COUNT(Usage!$C:$C)=0,"",MAX(0,SUMIFS(Usage!$C:$C,Usage!$A:$A,$AF311,Usage!$B:$B,"&gt;="&amp;(PlanDate-AduWindow),Usage!$B:$B,"&lt;"&amp;PlanDate))/AduWindow))</f>
        <v/>
      </c>
      <c r="K311" s="18" t="str">
        <f aca="false">IF($A311="","",IF(AND(ISNUMBER($I311),N($I311)&gt;=0),$I311,$J311))</f>
        <v/>
      </c>
      <c r="L311" s="19" t="str">
        <f aca="false">IF($A311="","",IF($K311="","Needs ADU",IF($K311&lt;=0,"No recent demand",IF(N($D311)&lt;=0,"Needs lead time","Planned"))))</f>
        <v/>
      </c>
      <c r="M311" s="8" t="str">
        <f aca="false">IF($A311="","",IF(ISNUMBER(MATCH($C311,Profiles!$A$2:$A$100,0)),$C311,DefaultProfile))</f>
        <v/>
      </c>
      <c r="N311" s="20" t="str">
        <f aca="false">IF($A311="","",INDEX(Profiles!$D$2:$D$100,MATCH($M311,Profiles!$A$2:$A$100,0)))</f>
        <v/>
      </c>
      <c r="O311" s="20" t="str">
        <f aca="false">IF($A311="","",INDEX(Profiles!$E$2:$E$100,MATCH($M311,Profiles!$A$2:$A$100,0)))</f>
        <v/>
      </c>
      <c r="P311" s="21" t="str">
        <f aca="false">IF($L311&lt;&gt;"Planned","",$K311*$D311*$N311*(1+$O311))</f>
        <v/>
      </c>
      <c r="Q311" s="21" t="str">
        <f aca="false">IF($L311&lt;&gt;"Planned","",$K311*$D311)</f>
        <v/>
      </c>
      <c r="R311" s="21" t="str">
        <f aca="false">IF($L311&lt;&gt;"Planned","",MAX(N($E311),$K311*$D311*$N311,$K311*N($G311)))</f>
        <v/>
      </c>
      <c r="S311" s="21" t="str">
        <f aca="false">IF($L311&lt;&gt;"Planned","",$P311)</f>
        <v/>
      </c>
      <c r="T311" s="21" t="str">
        <f aca="false">IF($L311&lt;&gt;"Planned","",$P311+$Q311)</f>
        <v/>
      </c>
      <c r="U311" s="21" t="str">
        <f aca="false">IF($L311&lt;&gt;"Planned","",$T311+$R311)</f>
        <v/>
      </c>
      <c r="V311" s="8" t="str">
        <f aca="false">IF($A311="","",SUMIFS('Open supply'!$C:$C,'Open supply'!$A:$A,$AF311))</f>
        <v/>
      </c>
      <c r="W311" s="8" t="str">
        <f aca="false">IF($A311="","",SUMIFS('Open supply'!$C:$C,'Open supply'!$A:$A,$AF311,'Open supply'!$B:$B,"&lt;"&amp;PlanDate))</f>
        <v/>
      </c>
      <c r="X311" s="8" t="str">
        <f aca="false">IF($A311="","",SUMIFS('Open demand'!$G:$G,'Open demand'!$A:$A,$AF311))</f>
        <v/>
      </c>
      <c r="Y311" s="8" t="str">
        <f aca="false">IF($L311&lt;&gt;"Planned","",N($H311)+$V311-$X311)</f>
        <v/>
      </c>
      <c r="Z311" s="19" t="str">
        <f aca="false">IF($L311&lt;&gt;"Planned","",IF($Y311&lt;=$S311,"Red",IF($Y311&lt;=$T311,"Yellow",IF($Y311&lt;=$U311,"Green","Above green"))))</f>
        <v/>
      </c>
      <c r="AA311" s="22" t="str">
        <f aca="false">IF(OR($L311&lt;&gt;"Planned",N($U311)&lt;=0),"",$Y311/$U311)</f>
        <v/>
      </c>
      <c r="AB311" s="8" t="str">
        <f aca="false">IF($L311&lt;&gt;"Planned","",IF($Y311&lt;=$T311,ROUNDUP(MAX($U311-$Y311,N($E311))/IF(N($F311)&gt;0,$F311,1)-0.000000001,0)*IF(N($F311)&gt;0,$F311,1),""))</f>
        <v/>
      </c>
      <c r="AC311" s="23" t="str">
        <f aca="false">IF(N($AB311)&gt;0,PlanDate+ROUNDUP($D311,0),"")</f>
        <v/>
      </c>
      <c r="AD311" s="19" t="str">
        <f aca="false">IF($L311&lt;&gt;"Planned","",IF(N($H311)&lt;=0,"Stockout",IF(N($H311)&lt;$S311*0.5,"Critical",IF(N($H311)&lt;=$S311,"Low",IF(N($H311)&gt;$U311,"Over top of green","OK")))))</f>
        <v/>
      </c>
      <c r="AE311" s="8" t="str">
        <f aca="false">IF($A311="","",$A311&amp;"")</f>
        <v/>
      </c>
      <c r="AF311" s="8" t="str">
        <f aca="false">IF($A311="","",SUBSTITUTE(SUBSTITUTE(SUBSTITUTE($A311&amp;"","~","~~"),"*","~*"),"?","~?"))</f>
        <v/>
      </c>
    </row>
    <row r="312" customFormat="false" ht="15" hidden="false" customHeight="false" outlineLevel="0" collapsed="false">
      <c r="A312" s="11"/>
      <c r="B312" s="11"/>
      <c r="C312" s="11"/>
      <c r="D312" s="16"/>
      <c r="E312" s="11"/>
      <c r="F312" s="11"/>
      <c r="G312" s="9"/>
      <c r="H312" s="11"/>
      <c r="I312" s="17"/>
      <c r="J312" s="18" t="str">
        <f aca="false">IF($A312="","",IF(COUNT(Usage!$C:$C)=0,"",MAX(0,SUMIFS(Usage!$C:$C,Usage!$A:$A,$AF312,Usage!$B:$B,"&gt;="&amp;(PlanDate-AduWindow),Usage!$B:$B,"&lt;"&amp;PlanDate))/AduWindow))</f>
        <v/>
      </c>
      <c r="K312" s="18" t="str">
        <f aca="false">IF($A312="","",IF(AND(ISNUMBER($I312),N($I312)&gt;=0),$I312,$J312))</f>
        <v/>
      </c>
      <c r="L312" s="19" t="str">
        <f aca="false">IF($A312="","",IF($K312="","Needs ADU",IF($K312&lt;=0,"No recent demand",IF(N($D312)&lt;=0,"Needs lead time","Planned"))))</f>
        <v/>
      </c>
      <c r="M312" s="8" t="str">
        <f aca="false">IF($A312="","",IF(ISNUMBER(MATCH($C312,Profiles!$A$2:$A$100,0)),$C312,DefaultProfile))</f>
        <v/>
      </c>
      <c r="N312" s="20" t="str">
        <f aca="false">IF($A312="","",INDEX(Profiles!$D$2:$D$100,MATCH($M312,Profiles!$A$2:$A$100,0)))</f>
        <v/>
      </c>
      <c r="O312" s="20" t="str">
        <f aca="false">IF($A312="","",INDEX(Profiles!$E$2:$E$100,MATCH($M312,Profiles!$A$2:$A$100,0)))</f>
        <v/>
      </c>
      <c r="P312" s="21" t="str">
        <f aca="false">IF($L312&lt;&gt;"Planned","",$K312*$D312*$N312*(1+$O312))</f>
        <v/>
      </c>
      <c r="Q312" s="21" t="str">
        <f aca="false">IF($L312&lt;&gt;"Planned","",$K312*$D312)</f>
        <v/>
      </c>
      <c r="R312" s="21" t="str">
        <f aca="false">IF($L312&lt;&gt;"Planned","",MAX(N($E312),$K312*$D312*$N312,$K312*N($G312)))</f>
        <v/>
      </c>
      <c r="S312" s="21" t="str">
        <f aca="false">IF($L312&lt;&gt;"Planned","",$P312)</f>
        <v/>
      </c>
      <c r="T312" s="21" t="str">
        <f aca="false">IF($L312&lt;&gt;"Planned","",$P312+$Q312)</f>
        <v/>
      </c>
      <c r="U312" s="21" t="str">
        <f aca="false">IF($L312&lt;&gt;"Planned","",$T312+$R312)</f>
        <v/>
      </c>
      <c r="V312" s="8" t="str">
        <f aca="false">IF($A312="","",SUMIFS('Open supply'!$C:$C,'Open supply'!$A:$A,$AF312))</f>
        <v/>
      </c>
      <c r="W312" s="8" t="str">
        <f aca="false">IF($A312="","",SUMIFS('Open supply'!$C:$C,'Open supply'!$A:$A,$AF312,'Open supply'!$B:$B,"&lt;"&amp;PlanDate))</f>
        <v/>
      </c>
      <c r="X312" s="8" t="str">
        <f aca="false">IF($A312="","",SUMIFS('Open demand'!$G:$G,'Open demand'!$A:$A,$AF312))</f>
        <v/>
      </c>
      <c r="Y312" s="8" t="str">
        <f aca="false">IF($L312&lt;&gt;"Planned","",N($H312)+$V312-$X312)</f>
        <v/>
      </c>
      <c r="Z312" s="19" t="str">
        <f aca="false">IF($L312&lt;&gt;"Planned","",IF($Y312&lt;=$S312,"Red",IF($Y312&lt;=$T312,"Yellow",IF($Y312&lt;=$U312,"Green","Above green"))))</f>
        <v/>
      </c>
      <c r="AA312" s="22" t="str">
        <f aca="false">IF(OR($L312&lt;&gt;"Planned",N($U312)&lt;=0),"",$Y312/$U312)</f>
        <v/>
      </c>
      <c r="AB312" s="8" t="str">
        <f aca="false">IF($L312&lt;&gt;"Planned","",IF($Y312&lt;=$T312,ROUNDUP(MAX($U312-$Y312,N($E312))/IF(N($F312)&gt;0,$F312,1)-0.000000001,0)*IF(N($F312)&gt;0,$F312,1),""))</f>
        <v/>
      </c>
      <c r="AC312" s="23" t="str">
        <f aca="false">IF(N($AB312)&gt;0,PlanDate+ROUNDUP($D312,0),"")</f>
        <v/>
      </c>
      <c r="AD312" s="19" t="str">
        <f aca="false">IF($L312&lt;&gt;"Planned","",IF(N($H312)&lt;=0,"Stockout",IF(N($H312)&lt;$S312*0.5,"Critical",IF(N($H312)&lt;=$S312,"Low",IF(N($H312)&gt;$U312,"Over top of green","OK")))))</f>
        <v/>
      </c>
      <c r="AE312" s="8" t="str">
        <f aca="false">IF($A312="","",$A312&amp;"")</f>
        <v/>
      </c>
      <c r="AF312" s="8" t="str">
        <f aca="false">IF($A312="","",SUBSTITUTE(SUBSTITUTE(SUBSTITUTE($A312&amp;"","~","~~"),"*","~*"),"?","~?"))</f>
        <v/>
      </c>
    </row>
    <row r="313" customFormat="false" ht="15" hidden="false" customHeight="false" outlineLevel="0" collapsed="false">
      <c r="A313" s="11"/>
      <c r="B313" s="11"/>
      <c r="C313" s="11"/>
      <c r="D313" s="16"/>
      <c r="E313" s="11"/>
      <c r="F313" s="11"/>
      <c r="G313" s="9"/>
      <c r="H313" s="11"/>
      <c r="I313" s="17"/>
      <c r="J313" s="18" t="str">
        <f aca="false">IF($A313="","",IF(COUNT(Usage!$C:$C)=0,"",MAX(0,SUMIFS(Usage!$C:$C,Usage!$A:$A,$AF313,Usage!$B:$B,"&gt;="&amp;(PlanDate-AduWindow),Usage!$B:$B,"&lt;"&amp;PlanDate))/AduWindow))</f>
        <v/>
      </c>
      <c r="K313" s="18" t="str">
        <f aca="false">IF($A313="","",IF(AND(ISNUMBER($I313),N($I313)&gt;=0),$I313,$J313))</f>
        <v/>
      </c>
      <c r="L313" s="19" t="str">
        <f aca="false">IF($A313="","",IF($K313="","Needs ADU",IF($K313&lt;=0,"No recent demand",IF(N($D313)&lt;=0,"Needs lead time","Planned"))))</f>
        <v/>
      </c>
      <c r="M313" s="8" t="str">
        <f aca="false">IF($A313="","",IF(ISNUMBER(MATCH($C313,Profiles!$A$2:$A$100,0)),$C313,DefaultProfile))</f>
        <v/>
      </c>
      <c r="N313" s="20" t="str">
        <f aca="false">IF($A313="","",INDEX(Profiles!$D$2:$D$100,MATCH($M313,Profiles!$A$2:$A$100,0)))</f>
        <v/>
      </c>
      <c r="O313" s="20" t="str">
        <f aca="false">IF($A313="","",INDEX(Profiles!$E$2:$E$100,MATCH($M313,Profiles!$A$2:$A$100,0)))</f>
        <v/>
      </c>
      <c r="P313" s="21" t="str">
        <f aca="false">IF($L313&lt;&gt;"Planned","",$K313*$D313*$N313*(1+$O313))</f>
        <v/>
      </c>
      <c r="Q313" s="21" t="str">
        <f aca="false">IF($L313&lt;&gt;"Planned","",$K313*$D313)</f>
        <v/>
      </c>
      <c r="R313" s="21" t="str">
        <f aca="false">IF($L313&lt;&gt;"Planned","",MAX(N($E313),$K313*$D313*$N313,$K313*N($G313)))</f>
        <v/>
      </c>
      <c r="S313" s="21" t="str">
        <f aca="false">IF($L313&lt;&gt;"Planned","",$P313)</f>
        <v/>
      </c>
      <c r="T313" s="21" t="str">
        <f aca="false">IF($L313&lt;&gt;"Planned","",$P313+$Q313)</f>
        <v/>
      </c>
      <c r="U313" s="21" t="str">
        <f aca="false">IF($L313&lt;&gt;"Planned","",$T313+$R313)</f>
        <v/>
      </c>
      <c r="V313" s="8" t="str">
        <f aca="false">IF($A313="","",SUMIFS('Open supply'!$C:$C,'Open supply'!$A:$A,$AF313))</f>
        <v/>
      </c>
      <c r="W313" s="8" t="str">
        <f aca="false">IF($A313="","",SUMIFS('Open supply'!$C:$C,'Open supply'!$A:$A,$AF313,'Open supply'!$B:$B,"&lt;"&amp;PlanDate))</f>
        <v/>
      </c>
      <c r="X313" s="8" t="str">
        <f aca="false">IF($A313="","",SUMIFS('Open demand'!$G:$G,'Open demand'!$A:$A,$AF313))</f>
        <v/>
      </c>
      <c r="Y313" s="8" t="str">
        <f aca="false">IF($L313&lt;&gt;"Planned","",N($H313)+$V313-$X313)</f>
        <v/>
      </c>
      <c r="Z313" s="19" t="str">
        <f aca="false">IF($L313&lt;&gt;"Planned","",IF($Y313&lt;=$S313,"Red",IF($Y313&lt;=$T313,"Yellow",IF($Y313&lt;=$U313,"Green","Above green"))))</f>
        <v/>
      </c>
      <c r="AA313" s="22" t="str">
        <f aca="false">IF(OR($L313&lt;&gt;"Planned",N($U313)&lt;=0),"",$Y313/$U313)</f>
        <v/>
      </c>
      <c r="AB313" s="8" t="str">
        <f aca="false">IF($L313&lt;&gt;"Planned","",IF($Y313&lt;=$T313,ROUNDUP(MAX($U313-$Y313,N($E313))/IF(N($F313)&gt;0,$F313,1)-0.000000001,0)*IF(N($F313)&gt;0,$F313,1),""))</f>
        <v/>
      </c>
      <c r="AC313" s="23" t="str">
        <f aca="false">IF(N($AB313)&gt;0,PlanDate+ROUNDUP($D313,0),"")</f>
        <v/>
      </c>
      <c r="AD313" s="19" t="str">
        <f aca="false">IF($L313&lt;&gt;"Planned","",IF(N($H313)&lt;=0,"Stockout",IF(N($H313)&lt;$S313*0.5,"Critical",IF(N($H313)&lt;=$S313,"Low",IF(N($H313)&gt;$U313,"Over top of green","OK")))))</f>
        <v/>
      </c>
      <c r="AE313" s="8" t="str">
        <f aca="false">IF($A313="","",$A313&amp;"")</f>
        <v/>
      </c>
      <c r="AF313" s="8" t="str">
        <f aca="false">IF($A313="","",SUBSTITUTE(SUBSTITUTE(SUBSTITUTE($A313&amp;"","~","~~"),"*","~*"),"?","~?"))</f>
        <v/>
      </c>
    </row>
    <row r="314" customFormat="false" ht="15" hidden="false" customHeight="false" outlineLevel="0" collapsed="false">
      <c r="A314" s="11"/>
      <c r="B314" s="11"/>
      <c r="C314" s="11"/>
      <c r="D314" s="16"/>
      <c r="E314" s="11"/>
      <c r="F314" s="11"/>
      <c r="G314" s="9"/>
      <c r="H314" s="11"/>
      <c r="I314" s="17"/>
      <c r="J314" s="18" t="str">
        <f aca="false">IF($A314="","",IF(COUNT(Usage!$C:$C)=0,"",MAX(0,SUMIFS(Usage!$C:$C,Usage!$A:$A,$AF314,Usage!$B:$B,"&gt;="&amp;(PlanDate-AduWindow),Usage!$B:$B,"&lt;"&amp;PlanDate))/AduWindow))</f>
        <v/>
      </c>
      <c r="K314" s="18" t="str">
        <f aca="false">IF($A314="","",IF(AND(ISNUMBER($I314),N($I314)&gt;=0),$I314,$J314))</f>
        <v/>
      </c>
      <c r="L314" s="19" t="str">
        <f aca="false">IF($A314="","",IF($K314="","Needs ADU",IF($K314&lt;=0,"No recent demand",IF(N($D314)&lt;=0,"Needs lead time","Planned"))))</f>
        <v/>
      </c>
      <c r="M314" s="8" t="str">
        <f aca="false">IF($A314="","",IF(ISNUMBER(MATCH($C314,Profiles!$A$2:$A$100,0)),$C314,DefaultProfile))</f>
        <v/>
      </c>
      <c r="N314" s="20" t="str">
        <f aca="false">IF($A314="","",INDEX(Profiles!$D$2:$D$100,MATCH($M314,Profiles!$A$2:$A$100,0)))</f>
        <v/>
      </c>
      <c r="O314" s="20" t="str">
        <f aca="false">IF($A314="","",INDEX(Profiles!$E$2:$E$100,MATCH($M314,Profiles!$A$2:$A$100,0)))</f>
        <v/>
      </c>
      <c r="P314" s="21" t="str">
        <f aca="false">IF($L314&lt;&gt;"Planned","",$K314*$D314*$N314*(1+$O314))</f>
        <v/>
      </c>
      <c r="Q314" s="21" t="str">
        <f aca="false">IF($L314&lt;&gt;"Planned","",$K314*$D314)</f>
        <v/>
      </c>
      <c r="R314" s="21" t="str">
        <f aca="false">IF($L314&lt;&gt;"Planned","",MAX(N($E314),$K314*$D314*$N314,$K314*N($G314)))</f>
        <v/>
      </c>
      <c r="S314" s="21" t="str">
        <f aca="false">IF($L314&lt;&gt;"Planned","",$P314)</f>
        <v/>
      </c>
      <c r="T314" s="21" t="str">
        <f aca="false">IF($L314&lt;&gt;"Planned","",$P314+$Q314)</f>
        <v/>
      </c>
      <c r="U314" s="21" t="str">
        <f aca="false">IF($L314&lt;&gt;"Planned","",$T314+$R314)</f>
        <v/>
      </c>
      <c r="V314" s="8" t="str">
        <f aca="false">IF($A314="","",SUMIFS('Open supply'!$C:$C,'Open supply'!$A:$A,$AF314))</f>
        <v/>
      </c>
      <c r="W314" s="8" t="str">
        <f aca="false">IF($A314="","",SUMIFS('Open supply'!$C:$C,'Open supply'!$A:$A,$AF314,'Open supply'!$B:$B,"&lt;"&amp;PlanDate))</f>
        <v/>
      </c>
      <c r="X314" s="8" t="str">
        <f aca="false">IF($A314="","",SUMIFS('Open demand'!$G:$G,'Open demand'!$A:$A,$AF314))</f>
        <v/>
      </c>
      <c r="Y314" s="8" t="str">
        <f aca="false">IF($L314&lt;&gt;"Planned","",N($H314)+$V314-$X314)</f>
        <v/>
      </c>
      <c r="Z314" s="19" t="str">
        <f aca="false">IF($L314&lt;&gt;"Planned","",IF($Y314&lt;=$S314,"Red",IF($Y314&lt;=$T314,"Yellow",IF($Y314&lt;=$U314,"Green","Above green"))))</f>
        <v/>
      </c>
      <c r="AA314" s="22" t="str">
        <f aca="false">IF(OR($L314&lt;&gt;"Planned",N($U314)&lt;=0),"",$Y314/$U314)</f>
        <v/>
      </c>
      <c r="AB314" s="8" t="str">
        <f aca="false">IF($L314&lt;&gt;"Planned","",IF($Y314&lt;=$T314,ROUNDUP(MAX($U314-$Y314,N($E314))/IF(N($F314)&gt;0,$F314,1)-0.000000001,0)*IF(N($F314)&gt;0,$F314,1),""))</f>
        <v/>
      </c>
      <c r="AC314" s="23" t="str">
        <f aca="false">IF(N($AB314)&gt;0,PlanDate+ROUNDUP($D314,0),"")</f>
        <v/>
      </c>
      <c r="AD314" s="19" t="str">
        <f aca="false">IF($L314&lt;&gt;"Planned","",IF(N($H314)&lt;=0,"Stockout",IF(N($H314)&lt;$S314*0.5,"Critical",IF(N($H314)&lt;=$S314,"Low",IF(N($H314)&gt;$U314,"Over top of green","OK")))))</f>
        <v/>
      </c>
      <c r="AE314" s="8" t="str">
        <f aca="false">IF($A314="","",$A314&amp;"")</f>
        <v/>
      </c>
      <c r="AF314" s="8" t="str">
        <f aca="false">IF($A314="","",SUBSTITUTE(SUBSTITUTE(SUBSTITUTE($A314&amp;"","~","~~"),"*","~*"),"?","~?"))</f>
        <v/>
      </c>
    </row>
    <row r="315" customFormat="false" ht="15" hidden="false" customHeight="false" outlineLevel="0" collapsed="false">
      <c r="A315" s="11"/>
      <c r="B315" s="11"/>
      <c r="C315" s="11"/>
      <c r="D315" s="16"/>
      <c r="E315" s="11"/>
      <c r="F315" s="11"/>
      <c r="G315" s="9"/>
      <c r="H315" s="11"/>
      <c r="I315" s="17"/>
      <c r="J315" s="18" t="str">
        <f aca="false">IF($A315="","",IF(COUNT(Usage!$C:$C)=0,"",MAX(0,SUMIFS(Usage!$C:$C,Usage!$A:$A,$AF315,Usage!$B:$B,"&gt;="&amp;(PlanDate-AduWindow),Usage!$B:$B,"&lt;"&amp;PlanDate))/AduWindow))</f>
        <v/>
      </c>
      <c r="K315" s="18" t="str">
        <f aca="false">IF($A315="","",IF(AND(ISNUMBER($I315),N($I315)&gt;=0),$I315,$J315))</f>
        <v/>
      </c>
      <c r="L315" s="19" t="str">
        <f aca="false">IF($A315="","",IF($K315="","Needs ADU",IF($K315&lt;=0,"No recent demand",IF(N($D315)&lt;=0,"Needs lead time","Planned"))))</f>
        <v/>
      </c>
      <c r="M315" s="8" t="str">
        <f aca="false">IF($A315="","",IF(ISNUMBER(MATCH($C315,Profiles!$A$2:$A$100,0)),$C315,DefaultProfile))</f>
        <v/>
      </c>
      <c r="N315" s="20" t="str">
        <f aca="false">IF($A315="","",INDEX(Profiles!$D$2:$D$100,MATCH($M315,Profiles!$A$2:$A$100,0)))</f>
        <v/>
      </c>
      <c r="O315" s="20" t="str">
        <f aca="false">IF($A315="","",INDEX(Profiles!$E$2:$E$100,MATCH($M315,Profiles!$A$2:$A$100,0)))</f>
        <v/>
      </c>
      <c r="P315" s="21" t="str">
        <f aca="false">IF($L315&lt;&gt;"Planned","",$K315*$D315*$N315*(1+$O315))</f>
        <v/>
      </c>
      <c r="Q315" s="21" t="str">
        <f aca="false">IF($L315&lt;&gt;"Planned","",$K315*$D315)</f>
        <v/>
      </c>
      <c r="R315" s="21" t="str">
        <f aca="false">IF($L315&lt;&gt;"Planned","",MAX(N($E315),$K315*$D315*$N315,$K315*N($G315)))</f>
        <v/>
      </c>
      <c r="S315" s="21" t="str">
        <f aca="false">IF($L315&lt;&gt;"Planned","",$P315)</f>
        <v/>
      </c>
      <c r="T315" s="21" t="str">
        <f aca="false">IF($L315&lt;&gt;"Planned","",$P315+$Q315)</f>
        <v/>
      </c>
      <c r="U315" s="21" t="str">
        <f aca="false">IF($L315&lt;&gt;"Planned","",$T315+$R315)</f>
        <v/>
      </c>
      <c r="V315" s="8" t="str">
        <f aca="false">IF($A315="","",SUMIFS('Open supply'!$C:$C,'Open supply'!$A:$A,$AF315))</f>
        <v/>
      </c>
      <c r="W315" s="8" t="str">
        <f aca="false">IF($A315="","",SUMIFS('Open supply'!$C:$C,'Open supply'!$A:$A,$AF315,'Open supply'!$B:$B,"&lt;"&amp;PlanDate))</f>
        <v/>
      </c>
      <c r="X315" s="8" t="str">
        <f aca="false">IF($A315="","",SUMIFS('Open demand'!$G:$G,'Open demand'!$A:$A,$AF315))</f>
        <v/>
      </c>
      <c r="Y315" s="8" t="str">
        <f aca="false">IF($L315&lt;&gt;"Planned","",N($H315)+$V315-$X315)</f>
        <v/>
      </c>
      <c r="Z315" s="19" t="str">
        <f aca="false">IF($L315&lt;&gt;"Planned","",IF($Y315&lt;=$S315,"Red",IF($Y315&lt;=$T315,"Yellow",IF($Y315&lt;=$U315,"Green","Above green"))))</f>
        <v/>
      </c>
      <c r="AA315" s="22" t="str">
        <f aca="false">IF(OR($L315&lt;&gt;"Planned",N($U315)&lt;=0),"",$Y315/$U315)</f>
        <v/>
      </c>
      <c r="AB315" s="8" t="str">
        <f aca="false">IF($L315&lt;&gt;"Planned","",IF($Y315&lt;=$T315,ROUNDUP(MAX($U315-$Y315,N($E315))/IF(N($F315)&gt;0,$F315,1)-0.000000001,0)*IF(N($F315)&gt;0,$F315,1),""))</f>
        <v/>
      </c>
      <c r="AC315" s="23" t="str">
        <f aca="false">IF(N($AB315)&gt;0,PlanDate+ROUNDUP($D315,0),"")</f>
        <v/>
      </c>
      <c r="AD315" s="19" t="str">
        <f aca="false">IF($L315&lt;&gt;"Planned","",IF(N($H315)&lt;=0,"Stockout",IF(N($H315)&lt;$S315*0.5,"Critical",IF(N($H315)&lt;=$S315,"Low",IF(N($H315)&gt;$U315,"Over top of green","OK")))))</f>
        <v/>
      </c>
      <c r="AE315" s="8" t="str">
        <f aca="false">IF($A315="","",$A315&amp;"")</f>
        <v/>
      </c>
      <c r="AF315" s="8" t="str">
        <f aca="false">IF($A315="","",SUBSTITUTE(SUBSTITUTE(SUBSTITUTE($A315&amp;"","~","~~"),"*","~*"),"?","~?"))</f>
        <v/>
      </c>
    </row>
    <row r="316" customFormat="false" ht="15" hidden="false" customHeight="false" outlineLevel="0" collapsed="false">
      <c r="A316" s="11"/>
      <c r="B316" s="11"/>
      <c r="C316" s="11"/>
      <c r="D316" s="16"/>
      <c r="E316" s="11"/>
      <c r="F316" s="11"/>
      <c r="G316" s="9"/>
      <c r="H316" s="11"/>
      <c r="I316" s="17"/>
      <c r="J316" s="18" t="str">
        <f aca="false">IF($A316="","",IF(COUNT(Usage!$C:$C)=0,"",MAX(0,SUMIFS(Usage!$C:$C,Usage!$A:$A,$AF316,Usage!$B:$B,"&gt;="&amp;(PlanDate-AduWindow),Usage!$B:$B,"&lt;"&amp;PlanDate))/AduWindow))</f>
        <v/>
      </c>
      <c r="K316" s="18" t="str">
        <f aca="false">IF($A316="","",IF(AND(ISNUMBER($I316),N($I316)&gt;=0),$I316,$J316))</f>
        <v/>
      </c>
      <c r="L316" s="19" t="str">
        <f aca="false">IF($A316="","",IF($K316="","Needs ADU",IF($K316&lt;=0,"No recent demand",IF(N($D316)&lt;=0,"Needs lead time","Planned"))))</f>
        <v/>
      </c>
      <c r="M316" s="8" t="str">
        <f aca="false">IF($A316="","",IF(ISNUMBER(MATCH($C316,Profiles!$A$2:$A$100,0)),$C316,DefaultProfile))</f>
        <v/>
      </c>
      <c r="N316" s="20" t="str">
        <f aca="false">IF($A316="","",INDEX(Profiles!$D$2:$D$100,MATCH($M316,Profiles!$A$2:$A$100,0)))</f>
        <v/>
      </c>
      <c r="O316" s="20" t="str">
        <f aca="false">IF($A316="","",INDEX(Profiles!$E$2:$E$100,MATCH($M316,Profiles!$A$2:$A$100,0)))</f>
        <v/>
      </c>
      <c r="P316" s="21" t="str">
        <f aca="false">IF($L316&lt;&gt;"Planned","",$K316*$D316*$N316*(1+$O316))</f>
        <v/>
      </c>
      <c r="Q316" s="21" t="str">
        <f aca="false">IF($L316&lt;&gt;"Planned","",$K316*$D316)</f>
        <v/>
      </c>
      <c r="R316" s="21" t="str">
        <f aca="false">IF($L316&lt;&gt;"Planned","",MAX(N($E316),$K316*$D316*$N316,$K316*N($G316)))</f>
        <v/>
      </c>
      <c r="S316" s="21" t="str">
        <f aca="false">IF($L316&lt;&gt;"Planned","",$P316)</f>
        <v/>
      </c>
      <c r="T316" s="21" t="str">
        <f aca="false">IF($L316&lt;&gt;"Planned","",$P316+$Q316)</f>
        <v/>
      </c>
      <c r="U316" s="21" t="str">
        <f aca="false">IF($L316&lt;&gt;"Planned","",$T316+$R316)</f>
        <v/>
      </c>
      <c r="V316" s="8" t="str">
        <f aca="false">IF($A316="","",SUMIFS('Open supply'!$C:$C,'Open supply'!$A:$A,$AF316))</f>
        <v/>
      </c>
      <c r="W316" s="8" t="str">
        <f aca="false">IF($A316="","",SUMIFS('Open supply'!$C:$C,'Open supply'!$A:$A,$AF316,'Open supply'!$B:$B,"&lt;"&amp;PlanDate))</f>
        <v/>
      </c>
      <c r="X316" s="8" t="str">
        <f aca="false">IF($A316="","",SUMIFS('Open demand'!$G:$G,'Open demand'!$A:$A,$AF316))</f>
        <v/>
      </c>
      <c r="Y316" s="8" t="str">
        <f aca="false">IF($L316&lt;&gt;"Planned","",N($H316)+$V316-$X316)</f>
        <v/>
      </c>
      <c r="Z316" s="19" t="str">
        <f aca="false">IF($L316&lt;&gt;"Planned","",IF($Y316&lt;=$S316,"Red",IF($Y316&lt;=$T316,"Yellow",IF($Y316&lt;=$U316,"Green","Above green"))))</f>
        <v/>
      </c>
      <c r="AA316" s="22" t="str">
        <f aca="false">IF(OR($L316&lt;&gt;"Planned",N($U316)&lt;=0),"",$Y316/$U316)</f>
        <v/>
      </c>
      <c r="AB316" s="8" t="str">
        <f aca="false">IF($L316&lt;&gt;"Planned","",IF($Y316&lt;=$T316,ROUNDUP(MAX($U316-$Y316,N($E316))/IF(N($F316)&gt;0,$F316,1)-0.000000001,0)*IF(N($F316)&gt;0,$F316,1),""))</f>
        <v/>
      </c>
      <c r="AC316" s="23" t="str">
        <f aca="false">IF(N($AB316)&gt;0,PlanDate+ROUNDUP($D316,0),"")</f>
        <v/>
      </c>
      <c r="AD316" s="19" t="str">
        <f aca="false">IF($L316&lt;&gt;"Planned","",IF(N($H316)&lt;=0,"Stockout",IF(N($H316)&lt;$S316*0.5,"Critical",IF(N($H316)&lt;=$S316,"Low",IF(N($H316)&gt;$U316,"Over top of green","OK")))))</f>
        <v/>
      </c>
      <c r="AE316" s="8" t="str">
        <f aca="false">IF($A316="","",$A316&amp;"")</f>
        <v/>
      </c>
      <c r="AF316" s="8" t="str">
        <f aca="false">IF($A316="","",SUBSTITUTE(SUBSTITUTE(SUBSTITUTE($A316&amp;"","~","~~"),"*","~*"),"?","~?"))</f>
        <v/>
      </c>
    </row>
    <row r="317" customFormat="false" ht="15" hidden="false" customHeight="false" outlineLevel="0" collapsed="false">
      <c r="A317" s="11"/>
      <c r="B317" s="11"/>
      <c r="C317" s="11"/>
      <c r="D317" s="16"/>
      <c r="E317" s="11"/>
      <c r="F317" s="11"/>
      <c r="G317" s="9"/>
      <c r="H317" s="11"/>
      <c r="I317" s="17"/>
      <c r="J317" s="18" t="str">
        <f aca="false">IF($A317="","",IF(COUNT(Usage!$C:$C)=0,"",MAX(0,SUMIFS(Usage!$C:$C,Usage!$A:$A,$AF317,Usage!$B:$B,"&gt;="&amp;(PlanDate-AduWindow),Usage!$B:$B,"&lt;"&amp;PlanDate))/AduWindow))</f>
        <v/>
      </c>
      <c r="K317" s="18" t="str">
        <f aca="false">IF($A317="","",IF(AND(ISNUMBER($I317),N($I317)&gt;=0),$I317,$J317))</f>
        <v/>
      </c>
      <c r="L317" s="19" t="str">
        <f aca="false">IF($A317="","",IF($K317="","Needs ADU",IF($K317&lt;=0,"No recent demand",IF(N($D317)&lt;=0,"Needs lead time","Planned"))))</f>
        <v/>
      </c>
      <c r="M317" s="8" t="str">
        <f aca="false">IF($A317="","",IF(ISNUMBER(MATCH($C317,Profiles!$A$2:$A$100,0)),$C317,DefaultProfile))</f>
        <v/>
      </c>
      <c r="N317" s="20" t="str">
        <f aca="false">IF($A317="","",INDEX(Profiles!$D$2:$D$100,MATCH($M317,Profiles!$A$2:$A$100,0)))</f>
        <v/>
      </c>
      <c r="O317" s="20" t="str">
        <f aca="false">IF($A317="","",INDEX(Profiles!$E$2:$E$100,MATCH($M317,Profiles!$A$2:$A$100,0)))</f>
        <v/>
      </c>
      <c r="P317" s="21" t="str">
        <f aca="false">IF($L317&lt;&gt;"Planned","",$K317*$D317*$N317*(1+$O317))</f>
        <v/>
      </c>
      <c r="Q317" s="21" t="str">
        <f aca="false">IF($L317&lt;&gt;"Planned","",$K317*$D317)</f>
        <v/>
      </c>
      <c r="R317" s="21" t="str">
        <f aca="false">IF($L317&lt;&gt;"Planned","",MAX(N($E317),$K317*$D317*$N317,$K317*N($G317)))</f>
        <v/>
      </c>
      <c r="S317" s="21" t="str">
        <f aca="false">IF($L317&lt;&gt;"Planned","",$P317)</f>
        <v/>
      </c>
      <c r="T317" s="21" t="str">
        <f aca="false">IF($L317&lt;&gt;"Planned","",$P317+$Q317)</f>
        <v/>
      </c>
      <c r="U317" s="21" t="str">
        <f aca="false">IF($L317&lt;&gt;"Planned","",$T317+$R317)</f>
        <v/>
      </c>
      <c r="V317" s="8" t="str">
        <f aca="false">IF($A317="","",SUMIFS('Open supply'!$C:$C,'Open supply'!$A:$A,$AF317))</f>
        <v/>
      </c>
      <c r="W317" s="8" t="str">
        <f aca="false">IF($A317="","",SUMIFS('Open supply'!$C:$C,'Open supply'!$A:$A,$AF317,'Open supply'!$B:$B,"&lt;"&amp;PlanDate))</f>
        <v/>
      </c>
      <c r="X317" s="8" t="str">
        <f aca="false">IF($A317="","",SUMIFS('Open demand'!$G:$G,'Open demand'!$A:$A,$AF317))</f>
        <v/>
      </c>
      <c r="Y317" s="8" t="str">
        <f aca="false">IF($L317&lt;&gt;"Planned","",N($H317)+$V317-$X317)</f>
        <v/>
      </c>
      <c r="Z317" s="19" t="str">
        <f aca="false">IF($L317&lt;&gt;"Planned","",IF($Y317&lt;=$S317,"Red",IF($Y317&lt;=$T317,"Yellow",IF($Y317&lt;=$U317,"Green","Above green"))))</f>
        <v/>
      </c>
      <c r="AA317" s="22" t="str">
        <f aca="false">IF(OR($L317&lt;&gt;"Planned",N($U317)&lt;=0),"",$Y317/$U317)</f>
        <v/>
      </c>
      <c r="AB317" s="8" t="str">
        <f aca="false">IF($L317&lt;&gt;"Planned","",IF($Y317&lt;=$T317,ROUNDUP(MAX($U317-$Y317,N($E317))/IF(N($F317)&gt;0,$F317,1)-0.000000001,0)*IF(N($F317)&gt;0,$F317,1),""))</f>
        <v/>
      </c>
      <c r="AC317" s="23" t="str">
        <f aca="false">IF(N($AB317)&gt;0,PlanDate+ROUNDUP($D317,0),"")</f>
        <v/>
      </c>
      <c r="AD317" s="19" t="str">
        <f aca="false">IF($L317&lt;&gt;"Planned","",IF(N($H317)&lt;=0,"Stockout",IF(N($H317)&lt;$S317*0.5,"Critical",IF(N($H317)&lt;=$S317,"Low",IF(N($H317)&gt;$U317,"Over top of green","OK")))))</f>
        <v/>
      </c>
      <c r="AE317" s="8" t="str">
        <f aca="false">IF($A317="","",$A317&amp;"")</f>
        <v/>
      </c>
      <c r="AF317" s="8" t="str">
        <f aca="false">IF($A317="","",SUBSTITUTE(SUBSTITUTE(SUBSTITUTE($A317&amp;"","~","~~"),"*","~*"),"?","~?"))</f>
        <v/>
      </c>
    </row>
    <row r="318" customFormat="false" ht="15" hidden="false" customHeight="false" outlineLevel="0" collapsed="false">
      <c r="A318" s="11"/>
      <c r="B318" s="11"/>
      <c r="C318" s="11"/>
      <c r="D318" s="16"/>
      <c r="E318" s="11"/>
      <c r="F318" s="11"/>
      <c r="G318" s="9"/>
      <c r="H318" s="11"/>
      <c r="I318" s="17"/>
      <c r="J318" s="18" t="str">
        <f aca="false">IF($A318="","",IF(COUNT(Usage!$C:$C)=0,"",MAX(0,SUMIFS(Usage!$C:$C,Usage!$A:$A,$AF318,Usage!$B:$B,"&gt;="&amp;(PlanDate-AduWindow),Usage!$B:$B,"&lt;"&amp;PlanDate))/AduWindow))</f>
        <v/>
      </c>
      <c r="K318" s="18" t="str">
        <f aca="false">IF($A318="","",IF(AND(ISNUMBER($I318),N($I318)&gt;=0),$I318,$J318))</f>
        <v/>
      </c>
      <c r="L318" s="19" t="str">
        <f aca="false">IF($A318="","",IF($K318="","Needs ADU",IF($K318&lt;=0,"No recent demand",IF(N($D318)&lt;=0,"Needs lead time","Planned"))))</f>
        <v/>
      </c>
      <c r="M318" s="8" t="str">
        <f aca="false">IF($A318="","",IF(ISNUMBER(MATCH($C318,Profiles!$A$2:$A$100,0)),$C318,DefaultProfile))</f>
        <v/>
      </c>
      <c r="N318" s="20" t="str">
        <f aca="false">IF($A318="","",INDEX(Profiles!$D$2:$D$100,MATCH($M318,Profiles!$A$2:$A$100,0)))</f>
        <v/>
      </c>
      <c r="O318" s="20" t="str">
        <f aca="false">IF($A318="","",INDEX(Profiles!$E$2:$E$100,MATCH($M318,Profiles!$A$2:$A$100,0)))</f>
        <v/>
      </c>
      <c r="P318" s="21" t="str">
        <f aca="false">IF($L318&lt;&gt;"Planned","",$K318*$D318*$N318*(1+$O318))</f>
        <v/>
      </c>
      <c r="Q318" s="21" t="str">
        <f aca="false">IF($L318&lt;&gt;"Planned","",$K318*$D318)</f>
        <v/>
      </c>
      <c r="R318" s="21" t="str">
        <f aca="false">IF($L318&lt;&gt;"Planned","",MAX(N($E318),$K318*$D318*$N318,$K318*N($G318)))</f>
        <v/>
      </c>
      <c r="S318" s="21" t="str">
        <f aca="false">IF($L318&lt;&gt;"Planned","",$P318)</f>
        <v/>
      </c>
      <c r="T318" s="21" t="str">
        <f aca="false">IF($L318&lt;&gt;"Planned","",$P318+$Q318)</f>
        <v/>
      </c>
      <c r="U318" s="21" t="str">
        <f aca="false">IF($L318&lt;&gt;"Planned","",$T318+$R318)</f>
        <v/>
      </c>
      <c r="V318" s="8" t="str">
        <f aca="false">IF($A318="","",SUMIFS('Open supply'!$C:$C,'Open supply'!$A:$A,$AF318))</f>
        <v/>
      </c>
      <c r="W318" s="8" t="str">
        <f aca="false">IF($A318="","",SUMIFS('Open supply'!$C:$C,'Open supply'!$A:$A,$AF318,'Open supply'!$B:$B,"&lt;"&amp;PlanDate))</f>
        <v/>
      </c>
      <c r="X318" s="8" t="str">
        <f aca="false">IF($A318="","",SUMIFS('Open demand'!$G:$G,'Open demand'!$A:$A,$AF318))</f>
        <v/>
      </c>
      <c r="Y318" s="8" t="str">
        <f aca="false">IF($L318&lt;&gt;"Planned","",N($H318)+$V318-$X318)</f>
        <v/>
      </c>
      <c r="Z318" s="19" t="str">
        <f aca="false">IF($L318&lt;&gt;"Planned","",IF($Y318&lt;=$S318,"Red",IF($Y318&lt;=$T318,"Yellow",IF($Y318&lt;=$U318,"Green","Above green"))))</f>
        <v/>
      </c>
      <c r="AA318" s="22" t="str">
        <f aca="false">IF(OR($L318&lt;&gt;"Planned",N($U318)&lt;=0),"",$Y318/$U318)</f>
        <v/>
      </c>
      <c r="AB318" s="8" t="str">
        <f aca="false">IF($L318&lt;&gt;"Planned","",IF($Y318&lt;=$T318,ROUNDUP(MAX($U318-$Y318,N($E318))/IF(N($F318)&gt;0,$F318,1)-0.000000001,0)*IF(N($F318)&gt;0,$F318,1),""))</f>
        <v/>
      </c>
      <c r="AC318" s="23" t="str">
        <f aca="false">IF(N($AB318)&gt;0,PlanDate+ROUNDUP($D318,0),"")</f>
        <v/>
      </c>
      <c r="AD318" s="19" t="str">
        <f aca="false">IF($L318&lt;&gt;"Planned","",IF(N($H318)&lt;=0,"Stockout",IF(N($H318)&lt;$S318*0.5,"Critical",IF(N($H318)&lt;=$S318,"Low",IF(N($H318)&gt;$U318,"Over top of green","OK")))))</f>
        <v/>
      </c>
      <c r="AE318" s="8" t="str">
        <f aca="false">IF($A318="","",$A318&amp;"")</f>
        <v/>
      </c>
      <c r="AF318" s="8" t="str">
        <f aca="false">IF($A318="","",SUBSTITUTE(SUBSTITUTE(SUBSTITUTE($A318&amp;"","~","~~"),"*","~*"),"?","~?"))</f>
        <v/>
      </c>
    </row>
    <row r="319" customFormat="false" ht="15" hidden="false" customHeight="false" outlineLevel="0" collapsed="false">
      <c r="A319" s="11"/>
      <c r="B319" s="11"/>
      <c r="C319" s="11"/>
      <c r="D319" s="16"/>
      <c r="E319" s="11"/>
      <c r="F319" s="11"/>
      <c r="G319" s="9"/>
      <c r="H319" s="11"/>
      <c r="I319" s="17"/>
      <c r="J319" s="18" t="str">
        <f aca="false">IF($A319="","",IF(COUNT(Usage!$C:$C)=0,"",MAX(0,SUMIFS(Usage!$C:$C,Usage!$A:$A,$AF319,Usage!$B:$B,"&gt;="&amp;(PlanDate-AduWindow),Usage!$B:$B,"&lt;"&amp;PlanDate))/AduWindow))</f>
        <v/>
      </c>
      <c r="K319" s="18" t="str">
        <f aca="false">IF($A319="","",IF(AND(ISNUMBER($I319),N($I319)&gt;=0),$I319,$J319))</f>
        <v/>
      </c>
      <c r="L319" s="19" t="str">
        <f aca="false">IF($A319="","",IF($K319="","Needs ADU",IF($K319&lt;=0,"No recent demand",IF(N($D319)&lt;=0,"Needs lead time","Planned"))))</f>
        <v/>
      </c>
      <c r="M319" s="8" t="str">
        <f aca="false">IF($A319="","",IF(ISNUMBER(MATCH($C319,Profiles!$A$2:$A$100,0)),$C319,DefaultProfile))</f>
        <v/>
      </c>
      <c r="N319" s="20" t="str">
        <f aca="false">IF($A319="","",INDEX(Profiles!$D$2:$D$100,MATCH($M319,Profiles!$A$2:$A$100,0)))</f>
        <v/>
      </c>
      <c r="O319" s="20" t="str">
        <f aca="false">IF($A319="","",INDEX(Profiles!$E$2:$E$100,MATCH($M319,Profiles!$A$2:$A$100,0)))</f>
        <v/>
      </c>
      <c r="P319" s="21" t="str">
        <f aca="false">IF($L319&lt;&gt;"Planned","",$K319*$D319*$N319*(1+$O319))</f>
        <v/>
      </c>
      <c r="Q319" s="21" t="str">
        <f aca="false">IF($L319&lt;&gt;"Planned","",$K319*$D319)</f>
        <v/>
      </c>
      <c r="R319" s="21" t="str">
        <f aca="false">IF($L319&lt;&gt;"Planned","",MAX(N($E319),$K319*$D319*$N319,$K319*N($G319)))</f>
        <v/>
      </c>
      <c r="S319" s="21" t="str">
        <f aca="false">IF($L319&lt;&gt;"Planned","",$P319)</f>
        <v/>
      </c>
      <c r="T319" s="21" t="str">
        <f aca="false">IF($L319&lt;&gt;"Planned","",$P319+$Q319)</f>
        <v/>
      </c>
      <c r="U319" s="21" t="str">
        <f aca="false">IF($L319&lt;&gt;"Planned","",$T319+$R319)</f>
        <v/>
      </c>
      <c r="V319" s="8" t="str">
        <f aca="false">IF($A319="","",SUMIFS('Open supply'!$C:$C,'Open supply'!$A:$A,$AF319))</f>
        <v/>
      </c>
      <c r="W319" s="8" t="str">
        <f aca="false">IF($A319="","",SUMIFS('Open supply'!$C:$C,'Open supply'!$A:$A,$AF319,'Open supply'!$B:$B,"&lt;"&amp;PlanDate))</f>
        <v/>
      </c>
      <c r="X319" s="8" t="str">
        <f aca="false">IF($A319="","",SUMIFS('Open demand'!$G:$G,'Open demand'!$A:$A,$AF319))</f>
        <v/>
      </c>
      <c r="Y319" s="8" t="str">
        <f aca="false">IF($L319&lt;&gt;"Planned","",N($H319)+$V319-$X319)</f>
        <v/>
      </c>
      <c r="Z319" s="19" t="str">
        <f aca="false">IF($L319&lt;&gt;"Planned","",IF($Y319&lt;=$S319,"Red",IF($Y319&lt;=$T319,"Yellow",IF($Y319&lt;=$U319,"Green","Above green"))))</f>
        <v/>
      </c>
      <c r="AA319" s="22" t="str">
        <f aca="false">IF(OR($L319&lt;&gt;"Planned",N($U319)&lt;=0),"",$Y319/$U319)</f>
        <v/>
      </c>
      <c r="AB319" s="8" t="str">
        <f aca="false">IF($L319&lt;&gt;"Planned","",IF($Y319&lt;=$T319,ROUNDUP(MAX($U319-$Y319,N($E319))/IF(N($F319)&gt;0,$F319,1)-0.000000001,0)*IF(N($F319)&gt;0,$F319,1),""))</f>
        <v/>
      </c>
      <c r="AC319" s="23" t="str">
        <f aca="false">IF(N($AB319)&gt;0,PlanDate+ROUNDUP($D319,0),"")</f>
        <v/>
      </c>
      <c r="AD319" s="19" t="str">
        <f aca="false">IF($L319&lt;&gt;"Planned","",IF(N($H319)&lt;=0,"Stockout",IF(N($H319)&lt;$S319*0.5,"Critical",IF(N($H319)&lt;=$S319,"Low",IF(N($H319)&gt;$U319,"Over top of green","OK")))))</f>
        <v/>
      </c>
      <c r="AE319" s="8" t="str">
        <f aca="false">IF($A319="","",$A319&amp;"")</f>
        <v/>
      </c>
      <c r="AF319" s="8" t="str">
        <f aca="false">IF($A319="","",SUBSTITUTE(SUBSTITUTE(SUBSTITUTE($A319&amp;"","~","~~"),"*","~*"),"?","~?"))</f>
        <v/>
      </c>
    </row>
    <row r="320" customFormat="false" ht="15" hidden="false" customHeight="false" outlineLevel="0" collapsed="false">
      <c r="A320" s="11"/>
      <c r="B320" s="11"/>
      <c r="C320" s="11"/>
      <c r="D320" s="16"/>
      <c r="E320" s="11"/>
      <c r="F320" s="11"/>
      <c r="G320" s="9"/>
      <c r="H320" s="11"/>
      <c r="I320" s="17"/>
      <c r="J320" s="18" t="str">
        <f aca="false">IF($A320="","",IF(COUNT(Usage!$C:$C)=0,"",MAX(0,SUMIFS(Usage!$C:$C,Usage!$A:$A,$AF320,Usage!$B:$B,"&gt;="&amp;(PlanDate-AduWindow),Usage!$B:$B,"&lt;"&amp;PlanDate))/AduWindow))</f>
        <v/>
      </c>
      <c r="K320" s="18" t="str">
        <f aca="false">IF($A320="","",IF(AND(ISNUMBER($I320),N($I320)&gt;=0),$I320,$J320))</f>
        <v/>
      </c>
      <c r="L320" s="19" t="str">
        <f aca="false">IF($A320="","",IF($K320="","Needs ADU",IF($K320&lt;=0,"No recent demand",IF(N($D320)&lt;=0,"Needs lead time","Planned"))))</f>
        <v/>
      </c>
      <c r="M320" s="8" t="str">
        <f aca="false">IF($A320="","",IF(ISNUMBER(MATCH($C320,Profiles!$A$2:$A$100,0)),$C320,DefaultProfile))</f>
        <v/>
      </c>
      <c r="N320" s="20" t="str">
        <f aca="false">IF($A320="","",INDEX(Profiles!$D$2:$D$100,MATCH($M320,Profiles!$A$2:$A$100,0)))</f>
        <v/>
      </c>
      <c r="O320" s="20" t="str">
        <f aca="false">IF($A320="","",INDEX(Profiles!$E$2:$E$100,MATCH($M320,Profiles!$A$2:$A$100,0)))</f>
        <v/>
      </c>
      <c r="P320" s="21" t="str">
        <f aca="false">IF($L320&lt;&gt;"Planned","",$K320*$D320*$N320*(1+$O320))</f>
        <v/>
      </c>
      <c r="Q320" s="21" t="str">
        <f aca="false">IF($L320&lt;&gt;"Planned","",$K320*$D320)</f>
        <v/>
      </c>
      <c r="R320" s="21" t="str">
        <f aca="false">IF($L320&lt;&gt;"Planned","",MAX(N($E320),$K320*$D320*$N320,$K320*N($G320)))</f>
        <v/>
      </c>
      <c r="S320" s="21" t="str">
        <f aca="false">IF($L320&lt;&gt;"Planned","",$P320)</f>
        <v/>
      </c>
      <c r="T320" s="21" t="str">
        <f aca="false">IF($L320&lt;&gt;"Planned","",$P320+$Q320)</f>
        <v/>
      </c>
      <c r="U320" s="21" t="str">
        <f aca="false">IF($L320&lt;&gt;"Planned","",$T320+$R320)</f>
        <v/>
      </c>
      <c r="V320" s="8" t="str">
        <f aca="false">IF($A320="","",SUMIFS('Open supply'!$C:$C,'Open supply'!$A:$A,$AF320))</f>
        <v/>
      </c>
      <c r="W320" s="8" t="str">
        <f aca="false">IF($A320="","",SUMIFS('Open supply'!$C:$C,'Open supply'!$A:$A,$AF320,'Open supply'!$B:$B,"&lt;"&amp;PlanDate))</f>
        <v/>
      </c>
      <c r="X320" s="8" t="str">
        <f aca="false">IF($A320="","",SUMIFS('Open demand'!$G:$G,'Open demand'!$A:$A,$AF320))</f>
        <v/>
      </c>
      <c r="Y320" s="8" t="str">
        <f aca="false">IF($L320&lt;&gt;"Planned","",N($H320)+$V320-$X320)</f>
        <v/>
      </c>
      <c r="Z320" s="19" t="str">
        <f aca="false">IF($L320&lt;&gt;"Planned","",IF($Y320&lt;=$S320,"Red",IF($Y320&lt;=$T320,"Yellow",IF($Y320&lt;=$U320,"Green","Above green"))))</f>
        <v/>
      </c>
      <c r="AA320" s="22" t="str">
        <f aca="false">IF(OR($L320&lt;&gt;"Planned",N($U320)&lt;=0),"",$Y320/$U320)</f>
        <v/>
      </c>
      <c r="AB320" s="8" t="str">
        <f aca="false">IF($L320&lt;&gt;"Planned","",IF($Y320&lt;=$T320,ROUNDUP(MAX($U320-$Y320,N($E320))/IF(N($F320)&gt;0,$F320,1)-0.000000001,0)*IF(N($F320)&gt;0,$F320,1),""))</f>
        <v/>
      </c>
      <c r="AC320" s="23" t="str">
        <f aca="false">IF(N($AB320)&gt;0,PlanDate+ROUNDUP($D320,0),"")</f>
        <v/>
      </c>
      <c r="AD320" s="19" t="str">
        <f aca="false">IF($L320&lt;&gt;"Planned","",IF(N($H320)&lt;=0,"Stockout",IF(N($H320)&lt;$S320*0.5,"Critical",IF(N($H320)&lt;=$S320,"Low",IF(N($H320)&gt;$U320,"Over top of green","OK")))))</f>
        <v/>
      </c>
      <c r="AE320" s="8" t="str">
        <f aca="false">IF($A320="","",$A320&amp;"")</f>
        <v/>
      </c>
      <c r="AF320" s="8" t="str">
        <f aca="false">IF($A320="","",SUBSTITUTE(SUBSTITUTE(SUBSTITUTE($A320&amp;"","~","~~"),"*","~*"),"?","~?"))</f>
        <v/>
      </c>
    </row>
    <row r="321" customFormat="false" ht="15" hidden="false" customHeight="false" outlineLevel="0" collapsed="false">
      <c r="A321" s="11"/>
      <c r="B321" s="11"/>
      <c r="C321" s="11"/>
      <c r="D321" s="16"/>
      <c r="E321" s="11"/>
      <c r="F321" s="11"/>
      <c r="G321" s="9"/>
      <c r="H321" s="11"/>
      <c r="I321" s="17"/>
      <c r="J321" s="18" t="str">
        <f aca="false">IF($A321="","",IF(COUNT(Usage!$C:$C)=0,"",MAX(0,SUMIFS(Usage!$C:$C,Usage!$A:$A,$AF321,Usage!$B:$B,"&gt;="&amp;(PlanDate-AduWindow),Usage!$B:$B,"&lt;"&amp;PlanDate))/AduWindow))</f>
        <v/>
      </c>
      <c r="K321" s="18" t="str">
        <f aca="false">IF($A321="","",IF(AND(ISNUMBER($I321),N($I321)&gt;=0),$I321,$J321))</f>
        <v/>
      </c>
      <c r="L321" s="19" t="str">
        <f aca="false">IF($A321="","",IF($K321="","Needs ADU",IF($K321&lt;=0,"No recent demand",IF(N($D321)&lt;=0,"Needs lead time","Planned"))))</f>
        <v/>
      </c>
      <c r="M321" s="8" t="str">
        <f aca="false">IF($A321="","",IF(ISNUMBER(MATCH($C321,Profiles!$A$2:$A$100,0)),$C321,DefaultProfile))</f>
        <v/>
      </c>
      <c r="N321" s="20" t="str">
        <f aca="false">IF($A321="","",INDEX(Profiles!$D$2:$D$100,MATCH($M321,Profiles!$A$2:$A$100,0)))</f>
        <v/>
      </c>
      <c r="O321" s="20" t="str">
        <f aca="false">IF($A321="","",INDEX(Profiles!$E$2:$E$100,MATCH($M321,Profiles!$A$2:$A$100,0)))</f>
        <v/>
      </c>
      <c r="P321" s="21" t="str">
        <f aca="false">IF($L321&lt;&gt;"Planned","",$K321*$D321*$N321*(1+$O321))</f>
        <v/>
      </c>
      <c r="Q321" s="21" t="str">
        <f aca="false">IF($L321&lt;&gt;"Planned","",$K321*$D321)</f>
        <v/>
      </c>
      <c r="R321" s="21" t="str">
        <f aca="false">IF($L321&lt;&gt;"Planned","",MAX(N($E321),$K321*$D321*$N321,$K321*N($G321)))</f>
        <v/>
      </c>
      <c r="S321" s="21" t="str">
        <f aca="false">IF($L321&lt;&gt;"Planned","",$P321)</f>
        <v/>
      </c>
      <c r="T321" s="21" t="str">
        <f aca="false">IF($L321&lt;&gt;"Planned","",$P321+$Q321)</f>
        <v/>
      </c>
      <c r="U321" s="21" t="str">
        <f aca="false">IF($L321&lt;&gt;"Planned","",$T321+$R321)</f>
        <v/>
      </c>
      <c r="V321" s="8" t="str">
        <f aca="false">IF($A321="","",SUMIFS('Open supply'!$C:$C,'Open supply'!$A:$A,$AF321))</f>
        <v/>
      </c>
      <c r="W321" s="8" t="str">
        <f aca="false">IF($A321="","",SUMIFS('Open supply'!$C:$C,'Open supply'!$A:$A,$AF321,'Open supply'!$B:$B,"&lt;"&amp;PlanDate))</f>
        <v/>
      </c>
      <c r="X321" s="8" t="str">
        <f aca="false">IF($A321="","",SUMIFS('Open demand'!$G:$G,'Open demand'!$A:$A,$AF321))</f>
        <v/>
      </c>
      <c r="Y321" s="8" t="str">
        <f aca="false">IF($L321&lt;&gt;"Planned","",N($H321)+$V321-$X321)</f>
        <v/>
      </c>
      <c r="Z321" s="19" t="str">
        <f aca="false">IF($L321&lt;&gt;"Planned","",IF($Y321&lt;=$S321,"Red",IF($Y321&lt;=$T321,"Yellow",IF($Y321&lt;=$U321,"Green","Above green"))))</f>
        <v/>
      </c>
      <c r="AA321" s="22" t="str">
        <f aca="false">IF(OR($L321&lt;&gt;"Planned",N($U321)&lt;=0),"",$Y321/$U321)</f>
        <v/>
      </c>
      <c r="AB321" s="8" t="str">
        <f aca="false">IF($L321&lt;&gt;"Planned","",IF($Y321&lt;=$T321,ROUNDUP(MAX($U321-$Y321,N($E321))/IF(N($F321)&gt;0,$F321,1)-0.000000001,0)*IF(N($F321)&gt;0,$F321,1),""))</f>
        <v/>
      </c>
      <c r="AC321" s="23" t="str">
        <f aca="false">IF(N($AB321)&gt;0,PlanDate+ROUNDUP($D321,0),"")</f>
        <v/>
      </c>
      <c r="AD321" s="19" t="str">
        <f aca="false">IF($L321&lt;&gt;"Planned","",IF(N($H321)&lt;=0,"Stockout",IF(N($H321)&lt;$S321*0.5,"Critical",IF(N($H321)&lt;=$S321,"Low",IF(N($H321)&gt;$U321,"Over top of green","OK")))))</f>
        <v/>
      </c>
      <c r="AE321" s="8" t="str">
        <f aca="false">IF($A321="","",$A321&amp;"")</f>
        <v/>
      </c>
      <c r="AF321" s="8" t="str">
        <f aca="false">IF($A321="","",SUBSTITUTE(SUBSTITUTE(SUBSTITUTE($A321&amp;"","~","~~"),"*","~*"),"?","~?"))</f>
        <v/>
      </c>
    </row>
    <row r="322" customFormat="false" ht="15" hidden="false" customHeight="false" outlineLevel="0" collapsed="false">
      <c r="A322" s="11"/>
      <c r="B322" s="11"/>
      <c r="C322" s="11"/>
      <c r="D322" s="16"/>
      <c r="E322" s="11"/>
      <c r="F322" s="11"/>
      <c r="G322" s="9"/>
      <c r="H322" s="11"/>
      <c r="I322" s="17"/>
      <c r="J322" s="18" t="str">
        <f aca="false">IF($A322="","",IF(COUNT(Usage!$C:$C)=0,"",MAX(0,SUMIFS(Usage!$C:$C,Usage!$A:$A,$AF322,Usage!$B:$B,"&gt;="&amp;(PlanDate-AduWindow),Usage!$B:$B,"&lt;"&amp;PlanDate))/AduWindow))</f>
        <v/>
      </c>
      <c r="K322" s="18" t="str">
        <f aca="false">IF($A322="","",IF(AND(ISNUMBER($I322),N($I322)&gt;=0),$I322,$J322))</f>
        <v/>
      </c>
      <c r="L322" s="19" t="str">
        <f aca="false">IF($A322="","",IF($K322="","Needs ADU",IF($K322&lt;=0,"No recent demand",IF(N($D322)&lt;=0,"Needs lead time","Planned"))))</f>
        <v/>
      </c>
      <c r="M322" s="8" t="str">
        <f aca="false">IF($A322="","",IF(ISNUMBER(MATCH($C322,Profiles!$A$2:$A$100,0)),$C322,DefaultProfile))</f>
        <v/>
      </c>
      <c r="N322" s="20" t="str">
        <f aca="false">IF($A322="","",INDEX(Profiles!$D$2:$D$100,MATCH($M322,Profiles!$A$2:$A$100,0)))</f>
        <v/>
      </c>
      <c r="O322" s="20" t="str">
        <f aca="false">IF($A322="","",INDEX(Profiles!$E$2:$E$100,MATCH($M322,Profiles!$A$2:$A$100,0)))</f>
        <v/>
      </c>
      <c r="P322" s="21" t="str">
        <f aca="false">IF($L322&lt;&gt;"Planned","",$K322*$D322*$N322*(1+$O322))</f>
        <v/>
      </c>
      <c r="Q322" s="21" t="str">
        <f aca="false">IF($L322&lt;&gt;"Planned","",$K322*$D322)</f>
        <v/>
      </c>
      <c r="R322" s="21" t="str">
        <f aca="false">IF($L322&lt;&gt;"Planned","",MAX(N($E322),$K322*$D322*$N322,$K322*N($G322)))</f>
        <v/>
      </c>
      <c r="S322" s="21" t="str">
        <f aca="false">IF($L322&lt;&gt;"Planned","",$P322)</f>
        <v/>
      </c>
      <c r="T322" s="21" t="str">
        <f aca="false">IF($L322&lt;&gt;"Planned","",$P322+$Q322)</f>
        <v/>
      </c>
      <c r="U322" s="21" t="str">
        <f aca="false">IF($L322&lt;&gt;"Planned","",$T322+$R322)</f>
        <v/>
      </c>
      <c r="V322" s="8" t="str">
        <f aca="false">IF($A322="","",SUMIFS('Open supply'!$C:$C,'Open supply'!$A:$A,$AF322))</f>
        <v/>
      </c>
      <c r="W322" s="8" t="str">
        <f aca="false">IF($A322="","",SUMIFS('Open supply'!$C:$C,'Open supply'!$A:$A,$AF322,'Open supply'!$B:$B,"&lt;"&amp;PlanDate))</f>
        <v/>
      </c>
      <c r="X322" s="8" t="str">
        <f aca="false">IF($A322="","",SUMIFS('Open demand'!$G:$G,'Open demand'!$A:$A,$AF322))</f>
        <v/>
      </c>
      <c r="Y322" s="8" t="str">
        <f aca="false">IF($L322&lt;&gt;"Planned","",N($H322)+$V322-$X322)</f>
        <v/>
      </c>
      <c r="Z322" s="19" t="str">
        <f aca="false">IF($L322&lt;&gt;"Planned","",IF($Y322&lt;=$S322,"Red",IF($Y322&lt;=$T322,"Yellow",IF($Y322&lt;=$U322,"Green","Above green"))))</f>
        <v/>
      </c>
      <c r="AA322" s="22" t="str">
        <f aca="false">IF(OR($L322&lt;&gt;"Planned",N($U322)&lt;=0),"",$Y322/$U322)</f>
        <v/>
      </c>
      <c r="AB322" s="8" t="str">
        <f aca="false">IF($L322&lt;&gt;"Planned","",IF($Y322&lt;=$T322,ROUNDUP(MAX($U322-$Y322,N($E322))/IF(N($F322)&gt;0,$F322,1)-0.000000001,0)*IF(N($F322)&gt;0,$F322,1),""))</f>
        <v/>
      </c>
      <c r="AC322" s="23" t="str">
        <f aca="false">IF(N($AB322)&gt;0,PlanDate+ROUNDUP($D322,0),"")</f>
        <v/>
      </c>
      <c r="AD322" s="19" t="str">
        <f aca="false">IF($L322&lt;&gt;"Planned","",IF(N($H322)&lt;=0,"Stockout",IF(N($H322)&lt;$S322*0.5,"Critical",IF(N($H322)&lt;=$S322,"Low",IF(N($H322)&gt;$U322,"Over top of green","OK")))))</f>
        <v/>
      </c>
      <c r="AE322" s="8" t="str">
        <f aca="false">IF($A322="","",$A322&amp;"")</f>
        <v/>
      </c>
      <c r="AF322" s="8" t="str">
        <f aca="false">IF($A322="","",SUBSTITUTE(SUBSTITUTE(SUBSTITUTE($A322&amp;"","~","~~"),"*","~*"),"?","~?"))</f>
        <v/>
      </c>
    </row>
    <row r="323" customFormat="false" ht="15" hidden="false" customHeight="false" outlineLevel="0" collapsed="false">
      <c r="A323" s="11"/>
      <c r="B323" s="11"/>
      <c r="C323" s="11"/>
      <c r="D323" s="16"/>
      <c r="E323" s="11"/>
      <c r="F323" s="11"/>
      <c r="G323" s="9"/>
      <c r="H323" s="11"/>
      <c r="I323" s="17"/>
      <c r="J323" s="18" t="str">
        <f aca="false">IF($A323="","",IF(COUNT(Usage!$C:$C)=0,"",MAX(0,SUMIFS(Usage!$C:$C,Usage!$A:$A,$AF323,Usage!$B:$B,"&gt;="&amp;(PlanDate-AduWindow),Usage!$B:$B,"&lt;"&amp;PlanDate))/AduWindow))</f>
        <v/>
      </c>
      <c r="K323" s="18" t="str">
        <f aca="false">IF($A323="","",IF(AND(ISNUMBER($I323),N($I323)&gt;=0),$I323,$J323))</f>
        <v/>
      </c>
      <c r="L323" s="19" t="str">
        <f aca="false">IF($A323="","",IF($K323="","Needs ADU",IF($K323&lt;=0,"No recent demand",IF(N($D323)&lt;=0,"Needs lead time","Planned"))))</f>
        <v/>
      </c>
      <c r="M323" s="8" t="str">
        <f aca="false">IF($A323="","",IF(ISNUMBER(MATCH($C323,Profiles!$A$2:$A$100,0)),$C323,DefaultProfile))</f>
        <v/>
      </c>
      <c r="N323" s="20" t="str">
        <f aca="false">IF($A323="","",INDEX(Profiles!$D$2:$D$100,MATCH($M323,Profiles!$A$2:$A$100,0)))</f>
        <v/>
      </c>
      <c r="O323" s="20" t="str">
        <f aca="false">IF($A323="","",INDEX(Profiles!$E$2:$E$100,MATCH($M323,Profiles!$A$2:$A$100,0)))</f>
        <v/>
      </c>
      <c r="P323" s="21" t="str">
        <f aca="false">IF($L323&lt;&gt;"Planned","",$K323*$D323*$N323*(1+$O323))</f>
        <v/>
      </c>
      <c r="Q323" s="21" t="str">
        <f aca="false">IF($L323&lt;&gt;"Planned","",$K323*$D323)</f>
        <v/>
      </c>
      <c r="R323" s="21" t="str">
        <f aca="false">IF($L323&lt;&gt;"Planned","",MAX(N($E323),$K323*$D323*$N323,$K323*N($G323)))</f>
        <v/>
      </c>
      <c r="S323" s="21" t="str">
        <f aca="false">IF($L323&lt;&gt;"Planned","",$P323)</f>
        <v/>
      </c>
      <c r="T323" s="21" t="str">
        <f aca="false">IF($L323&lt;&gt;"Planned","",$P323+$Q323)</f>
        <v/>
      </c>
      <c r="U323" s="21" t="str">
        <f aca="false">IF($L323&lt;&gt;"Planned","",$T323+$R323)</f>
        <v/>
      </c>
      <c r="V323" s="8" t="str">
        <f aca="false">IF($A323="","",SUMIFS('Open supply'!$C:$C,'Open supply'!$A:$A,$AF323))</f>
        <v/>
      </c>
      <c r="W323" s="8" t="str">
        <f aca="false">IF($A323="","",SUMIFS('Open supply'!$C:$C,'Open supply'!$A:$A,$AF323,'Open supply'!$B:$B,"&lt;"&amp;PlanDate))</f>
        <v/>
      </c>
      <c r="X323" s="8" t="str">
        <f aca="false">IF($A323="","",SUMIFS('Open demand'!$G:$G,'Open demand'!$A:$A,$AF323))</f>
        <v/>
      </c>
      <c r="Y323" s="8" t="str">
        <f aca="false">IF($L323&lt;&gt;"Planned","",N($H323)+$V323-$X323)</f>
        <v/>
      </c>
      <c r="Z323" s="19" t="str">
        <f aca="false">IF($L323&lt;&gt;"Planned","",IF($Y323&lt;=$S323,"Red",IF($Y323&lt;=$T323,"Yellow",IF($Y323&lt;=$U323,"Green","Above green"))))</f>
        <v/>
      </c>
      <c r="AA323" s="22" t="str">
        <f aca="false">IF(OR($L323&lt;&gt;"Planned",N($U323)&lt;=0),"",$Y323/$U323)</f>
        <v/>
      </c>
      <c r="AB323" s="8" t="str">
        <f aca="false">IF($L323&lt;&gt;"Planned","",IF($Y323&lt;=$T323,ROUNDUP(MAX($U323-$Y323,N($E323))/IF(N($F323)&gt;0,$F323,1)-0.000000001,0)*IF(N($F323)&gt;0,$F323,1),""))</f>
        <v/>
      </c>
      <c r="AC323" s="23" t="str">
        <f aca="false">IF(N($AB323)&gt;0,PlanDate+ROUNDUP($D323,0),"")</f>
        <v/>
      </c>
      <c r="AD323" s="19" t="str">
        <f aca="false">IF($L323&lt;&gt;"Planned","",IF(N($H323)&lt;=0,"Stockout",IF(N($H323)&lt;$S323*0.5,"Critical",IF(N($H323)&lt;=$S323,"Low",IF(N($H323)&gt;$U323,"Over top of green","OK")))))</f>
        <v/>
      </c>
      <c r="AE323" s="8" t="str">
        <f aca="false">IF($A323="","",$A323&amp;"")</f>
        <v/>
      </c>
      <c r="AF323" s="8" t="str">
        <f aca="false">IF($A323="","",SUBSTITUTE(SUBSTITUTE(SUBSTITUTE($A323&amp;"","~","~~"),"*","~*"),"?","~?"))</f>
        <v/>
      </c>
    </row>
    <row r="324" customFormat="false" ht="15" hidden="false" customHeight="false" outlineLevel="0" collapsed="false">
      <c r="A324" s="11"/>
      <c r="B324" s="11"/>
      <c r="C324" s="11"/>
      <c r="D324" s="16"/>
      <c r="E324" s="11"/>
      <c r="F324" s="11"/>
      <c r="G324" s="9"/>
      <c r="H324" s="11"/>
      <c r="I324" s="17"/>
      <c r="J324" s="18" t="str">
        <f aca="false">IF($A324="","",IF(COUNT(Usage!$C:$C)=0,"",MAX(0,SUMIFS(Usage!$C:$C,Usage!$A:$A,$AF324,Usage!$B:$B,"&gt;="&amp;(PlanDate-AduWindow),Usage!$B:$B,"&lt;"&amp;PlanDate))/AduWindow))</f>
        <v/>
      </c>
      <c r="K324" s="18" t="str">
        <f aca="false">IF($A324="","",IF(AND(ISNUMBER($I324),N($I324)&gt;=0),$I324,$J324))</f>
        <v/>
      </c>
      <c r="L324" s="19" t="str">
        <f aca="false">IF($A324="","",IF($K324="","Needs ADU",IF($K324&lt;=0,"No recent demand",IF(N($D324)&lt;=0,"Needs lead time","Planned"))))</f>
        <v/>
      </c>
      <c r="M324" s="8" t="str">
        <f aca="false">IF($A324="","",IF(ISNUMBER(MATCH($C324,Profiles!$A$2:$A$100,0)),$C324,DefaultProfile))</f>
        <v/>
      </c>
      <c r="N324" s="20" t="str">
        <f aca="false">IF($A324="","",INDEX(Profiles!$D$2:$D$100,MATCH($M324,Profiles!$A$2:$A$100,0)))</f>
        <v/>
      </c>
      <c r="O324" s="20" t="str">
        <f aca="false">IF($A324="","",INDEX(Profiles!$E$2:$E$100,MATCH($M324,Profiles!$A$2:$A$100,0)))</f>
        <v/>
      </c>
      <c r="P324" s="21" t="str">
        <f aca="false">IF($L324&lt;&gt;"Planned","",$K324*$D324*$N324*(1+$O324))</f>
        <v/>
      </c>
      <c r="Q324" s="21" t="str">
        <f aca="false">IF($L324&lt;&gt;"Planned","",$K324*$D324)</f>
        <v/>
      </c>
      <c r="R324" s="21" t="str">
        <f aca="false">IF($L324&lt;&gt;"Planned","",MAX(N($E324),$K324*$D324*$N324,$K324*N($G324)))</f>
        <v/>
      </c>
      <c r="S324" s="21" t="str">
        <f aca="false">IF($L324&lt;&gt;"Planned","",$P324)</f>
        <v/>
      </c>
      <c r="T324" s="21" t="str">
        <f aca="false">IF($L324&lt;&gt;"Planned","",$P324+$Q324)</f>
        <v/>
      </c>
      <c r="U324" s="21" t="str">
        <f aca="false">IF($L324&lt;&gt;"Planned","",$T324+$R324)</f>
        <v/>
      </c>
      <c r="V324" s="8" t="str">
        <f aca="false">IF($A324="","",SUMIFS('Open supply'!$C:$C,'Open supply'!$A:$A,$AF324))</f>
        <v/>
      </c>
      <c r="W324" s="8" t="str">
        <f aca="false">IF($A324="","",SUMIFS('Open supply'!$C:$C,'Open supply'!$A:$A,$AF324,'Open supply'!$B:$B,"&lt;"&amp;PlanDate))</f>
        <v/>
      </c>
      <c r="X324" s="8" t="str">
        <f aca="false">IF($A324="","",SUMIFS('Open demand'!$G:$G,'Open demand'!$A:$A,$AF324))</f>
        <v/>
      </c>
      <c r="Y324" s="8" t="str">
        <f aca="false">IF($L324&lt;&gt;"Planned","",N($H324)+$V324-$X324)</f>
        <v/>
      </c>
      <c r="Z324" s="19" t="str">
        <f aca="false">IF($L324&lt;&gt;"Planned","",IF($Y324&lt;=$S324,"Red",IF($Y324&lt;=$T324,"Yellow",IF($Y324&lt;=$U324,"Green","Above green"))))</f>
        <v/>
      </c>
      <c r="AA324" s="22" t="str">
        <f aca="false">IF(OR($L324&lt;&gt;"Planned",N($U324)&lt;=0),"",$Y324/$U324)</f>
        <v/>
      </c>
      <c r="AB324" s="8" t="str">
        <f aca="false">IF($L324&lt;&gt;"Planned","",IF($Y324&lt;=$T324,ROUNDUP(MAX($U324-$Y324,N($E324))/IF(N($F324)&gt;0,$F324,1)-0.000000001,0)*IF(N($F324)&gt;0,$F324,1),""))</f>
        <v/>
      </c>
      <c r="AC324" s="23" t="str">
        <f aca="false">IF(N($AB324)&gt;0,PlanDate+ROUNDUP($D324,0),"")</f>
        <v/>
      </c>
      <c r="AD324" s="19" t="str">
        <f aca="false">IF($L324&lt;&gt;"Planned","",IF(N($H324)&lt;=0,"Stockout",IF(N($H324)&lt;$S324*0.5,"Critical",IF(N($H324)&lt;=$S324,"Low",IF(N($H324)&gt;$U324,"Over top of green","OK")))))</f>
        <v/>
      </c>
      <c r="AE324" s="8" t="str">
        <f aca="false">IF($A324="","",$A324&amp;"")</f>
        <v/>
      </c>
      <c r="AF324" s="8" t="str">
        <f aca="false">IF($A324="","",SUBSTITUTE(SUBSTITUTE(SUBSTITUTE($A324&amp;"","~","~~"),"*","~*"),"?","~?"))</f>
        <v/>
      </c>
    </row>
    <row r="325" customFormat="false" ht="15" hidden="false" customHeight="false" outlineLevel="0" collapsed="false">
      <c r="A325" s="11"/>
      <c r="B325" s="11"/>
      <c r="C325" s="11"/>
      <c r="D325" s="16"/>
      <c r="E325" s="11"/>
      <c r="F325" s="11"/>
      <c r="G325" s="9"/>
      <c r="H325" s="11"/>
      <c r="I325" s="17"/>
      <c r="J325" s="18" t="str">
        <f aca="false">IF($A325="","",IF(COUNT(Usage!$C:$C)=0,"",MAX(0,SUMIFS(Usage!$C:$C,Usage!$A:$A,$AF325,Usage!$B:$B,"&gt;="&amp;(PlanDate-AduWindow),Usage!$B:$B,"&lt;"&amp;PlanDate))/AduWindow))</f>
        <v/>
      </c>
      <c r="K325" s="18" t="str">
        <f aca="false">IF($A325="","",IF(AND(ISNUMBER($I325),N($I325)&gt;=0),$I325,$J325))</f>
        <v/>
      </c>
      <c r="L325" s="19" t="str">
        <f aca="false">IF($A325="","",IF($K325="","Needs ADU",IF($K325&lt;=0,"No recent demand",IF(N($D325)&lt;=0,"Needs lead time","Planned"))))</f>
        <v/>
      </c>
      <c r="M325" s="8" t="str">
        <f aca="false">IF($A325="","",IF(ISNUMBER(MATCH($C325,Profiles!$A$2:$A$100,0)),$C325,DefaultProfile))</f>
        <v/>
      </c>
      <c r="N325" s="20" t="str">
        <f aca="false">IF($A325="","",INDEX(Profiles!$D$2:$D$100,MATCH($M325,Profiles!$A$2:$A$100,0)))</f>
        <v/>
      </c>
      <c r="O325" s="20" t="str">
        <f aca="false">IF($A325="","",INDEX(Profiles!$E$2:$E$100,MATCH($M325,Profiles!$A$2:$A$100,0)))</f>
        <v/>
      </c>
      <c r="P325" s="21" t="str">
        <f aca="false">IF($L325&lt;&gt;"Planned","",$K325*$D325*$N325*(1+$O325))</f>
        <v/>
      </c>
      <c r="Q325" s="21" t="str">
        <f aca="false">IF($L325&lt;&gt;"Planned","",$K325*$D325)</f>
        <v/>
      </c>
      <c r="R325" s="21" t="str">
        <f aca="false">IF($L325&lt;&gt;"Planned","",MAX(N($E325),$K325*$D325*$N325,$K325*N($G325)))</f>
        <v/>
      </c>
      <c r="S325" s="21" t="str">
        <f aca="false">IF($L325&lt;&gt;"Planned","",$P325)</f>
        <v/>
      </c>
      <c r="T325" s="21" t="str">
        <f aca="false">IF($L325&lt;&gt;"Planned","",$P325+$Q325)</f>
        <v/>
      </c>
      <c r="U325" s="21" t="str">
        <f aca="false">IF($L325&lt;&gt;"Planned","",$T325+$R325)</f>
        <v/>
      </c>
      <c r="V325" s="8" t="str">
        <f aca="false">IF($A325="","",SUMIFS('Open supply'!$C:$C,'Open supply'!$A:$A,$AF325))</f>
        <v/>
      </c>
      <c r="W325" s="8" t="str">
        <f aca="false">IF($A325="","",SUMIFS('Open supply'!$C:$C,'Open supply'!$A:$A,$AF325,'Open supply'!$B:$B,"&lt;"&amp;PlanDate))</f>
        <v/>
      </c>
      <c r="X325" s="8" t="str">
        <f aca="false">IF($A325="","",SUMIFS('Open demand'!$G:$G,'Open demand'!$A:$A,$AF325))</f>
        <v/>
      </c>
      <c r="Y325" s="8" t="str">
        <f aca="false">IF($L325&lt;&gt;"Planned","",N($H325)+$V325-$X325)</f>
        <v/>
      </c>
      <c r="Z325" s="19" t="str">
        <f aca="false">IF($L325&lt;&gt;"Planned","",IF($Y325&lt;=$S325,"Red",IF($Y325&lt;=$T325,"Yellow",IF($Y325&lt;=$U325,"Green","Above green"))))</f>
        <v/>
      </c>
      <c r="AA325" s="22" t="str">
        <f aca="false">IF(OR($L325&lt;&gt;"Planned",N($U325)&lt;=0),"",$Y325/$U325)</f>
        <v/>
      </c>
      <c r="AB325" s="8" t="str">
        <f aca="false">IF($L325&lt;&gt;"Planned","",IF($Y325&lt;=$T325,ROUNDUP(MAX($U325-$Y325,N($E325))/IF(N($F325)&gt;0,$F325,1)-0.000000001,0)*IF(N($F325)&gt;0,$F325,1),""))</f>
        <v/>
      </c>
      <c r="AC325" s="23" t="str">
        <f aca="false">IF(N($AB325)&gt;0,PlanDate+ROUNDUP($D325,0),"")</f>
        <v/>
      </c>
      <c r="AD325" s="19" t="str">
        <f aca="false">IF($L325&lt;&gt;"Planned","",IF(N($H325)&lt;=0,"Stockout",IF(N($H325)&lt;$S325*0.5,"Critical",IF(N($H325)&lt;=$S325,"Low",IF(N($H325)&gt;$U325,"Over top of green","OK")))))</f>
        <v/>
      </c>
      <c r="AE325" s="8" t="str">
        <f aca="false">IF($A325="","",$A325&amp;"")</f>
        <v/>
      </c>
      <c r="AF325" s="8" t="str">
        <f aca="false">IF($A325="","",SUBSTITUTE(SUBSTITUTE(SUBSTITUTE($A325&amp;"","~","~~"),"*","~*"),"?","~?"))</f>
        <v/>
      </c>
    </row>
    <row r="326" customFormat="false" ht="15" hidden="false" customHeight="false" outlineLevel="0" collapsed="false">
      <c r="A326" s="11"/>
      <c r="B326" s="11"/>
      <c r="C326" s="11"/>
      <c r="D326" s="16"/>
      <c r="E326" s="11"/>
      <c r="F326" s="11"/>
      <c r="G326" s="9"/>
      <c r="H326" s="11"/>
      <c r="I326" s="17"/>
      <c r="J326" s="18" t="str">
        <f aca="false">IF($A326="","",IF(COUNT(Usage!$C:$C)=0,"",MAX(0,SUMIFS(Usage!$C:$C,Usage!$A:$A,$AF326,Usage!$B:$B,"&gt;="&amp;(PlanDate-AduWindow),Usage!$B:$B,"&lt;"&amp;PlanDate))/AduWindow))</f>
        <v/>
      </c>
      <c r="K326" s="18" t="str">
        <f aca="false">IF($A326="","",IF(AND(ISNUMBER($I326),N($I326)&gt;=0),$I326,$J326))</f>
        <v/>
      </c>
      <c r="L326" s="19" t="str">
        <f aca="false">IF($A326="","",IF($K326="","Needs ADU",IF($K326&lt;=0,"No recent demand",IF(N($D326)&lt;=0,"Needs lead time","Planned"))))</f>
        <v/>
      </c>
      <c r="M326" s="8" t="str">
        <f aca="false">IF($A326="","",IF(ISNUMBER(MATCH($C326,Profiles!$A$2:$A$100,0)),$C326,DefaultProfile))</f>
        <v/>
      </c>
      <c r="N326" s="20" t="str">
        <f aca="false">IF($A326="","",INDEX(Profiles!$D$2:$D$100,MATCH($M326,Profiles!$A$2:$A$100,0)))</f>
        <v/>
      </c>
      <c r="O326" s="20" t="str">
        <f aca="false">IF($A326="","",INDEX(Profiles!$E$2:$E$100,MATCH($M326,Profiles!$A$2:$A$100,0)))</f>
        <v/>
      </c>
      <c r="P326" s="21" t="str">
        <f aca="false">IF($L326&lt;&gt;"Planned","",$K326*$D326*$N326*(1+$O326))</f>
        <v/>
      </c>
      <c r="Q326" s="21" t="str">
        <f aca="false">IF($L326&lt;&gt;"Planned","",$K326*$D326)</f>
        <v/>
      </c>
      <c r="R326" s="21" t="str">
        <f aca="false">IF($L326&lt;&gt;"Planned","",MAX(N($E326),$K326*$D326*$N326,$K326*N($G326)))</f>
        <v/>
      </c>
      <c r="S326" s="21" t="str">
        <f aca="false">IF($L326&lt;&gt;"Planned","",$P326)</f>
        <v/>
      </c>
      <c r="T326" s="21" t="str">
        <f aca="false">IF($L326&lt;&gt;"Planned","",$P326+$Q326)</f>
        <v/>
      </c>
      <c r="U326" s="21" t="str">
        <f aca="false">IF($L326&lt;&gt;"Planned","",$T326+$R326)</f>
        <v/>
      </c>
      <c r="V326" s="8" t="str">
        <f aca="false">IF($A326="","",SUMIFS('Open supply'!$C:$C,'Open supply'!$A:$A,$AF326))</f>
        <v/>
      </c>
      <c r="W326" s="8" t="str">
        <f aca="false">IF($A326="","",SUMIFS('Open supply'!$C:$C,'Open supply'!$A:$A,$AF326,'Open supply'!$B:$B,"&lt;"&amp;PlanDate))</f>
        <v/>
      </c>
      <c r="X326" s="8" t="str">
        <f aca="false">IF($A326="","",SUMIFS('Open demand'!$G:$G,'Open demand'!$A:$A,$AF326))</f>
        <v/>
      </c>
      <c r="Y326" s="8" t="str">
        <f aca="false">IF($L326&lt;&gt;"Planned","",N($H326)+$V326-$X326)</f>
        <v/>
      </c>
      <c r="Z326" s="19" t="str">
        <f aca="false">IF($L326&lt;&gt;"Planned","",IF($Y326&lt;=$S326,"Red",IF($Y326&lt;=$T326,"Yellow",IF($Y326&lt;=$U326,"Green","Above green"))))</f>
        <v/>
      </c>
      <c r="AA326" s="22" t="str">
        <f aca="false">IF(OR($L326&lt;&gt;"Planned",N($U326)&lt;=0),"",$Y326/$U326)</f>
        <v/>
      </c>
      <c r="AB326" s="8" t="str">
        <f aca="false">IF($L326&lt;&gt;"Planned","",IF($Y326&lt;=$T326,ROUNDUP(MAX($U326-$Y326,N($E326))/IF(N($F326)&gt;0,$F326,1)-0.000000001,0)*IF(N($F326)&gt;0,$F326,1),""))</f>
        <v/>
      </c>
      <c r="AC326" s="23" t="str">
        <f aca="false">IF(N($AB326)&gt;0,PlanDate+ROUNDUP($D326,0),"")</f>
        <v/>
      </c>
      <c r="AD326" s="19" t="str">
        <f aca="false">IF($L326&lt;&gt;"Planned","",IF(N($H326)&lt;=0,"Stockout",IF(N($H326)&lt;$S326*0.5,"Critical",IF(N($H326)&lt;=$S326,"Low",IF(N($H326)&gt;$U326,"Over top of green","OK")))))</f>
        <v/>
      </c>
      <c r="AE326" s="8" t="str">
        <f aca="false">IF($A326="","",$A326&amp;"")</f>
        <v/>
      </c>
      <c r="AF326" s="8" t="str">
        <f aca="false">IF($A326="","",SUBSTITUTE(SUBSTITUTE(SUBSTITUTE($A326&amp;"","~","~~"),"*","~*"),"?","~?"))</f>
        <v/>
      </c>
    </row>
    <row r="327" customFormat="false" ht="15" hidden="false" customHeight="false" outlineLevel="0" collapsed="false">
      <c r="A327" s="11"/>
      <c r="B327" s="11"/>
      <c r="C327" s="11"/>
      <c r="D327" s="16"/>
      <c r="E327" s="11"/>
      <c r="F327" s="11"/>
      <c r="G327" s="9"/>
      <c r="H327" s="11"/>
      <c r="I327" s="17"/>
      <c r="J327" s="18" t="str">
        <f aca="false">IF($A327="","",IF(COUNT(Usage!$C:$C)=0,"",MAX(0,SUMIFS(Usage!$C:$C,Usage!$A:$A,$AF327,Usage!$B:$B,"&gt;="&amp;(PlanDate-AduWindow),Usage!$B:$B,"&lt;"&amp;PlanDate))/AduWindow))</f>
        <v/>
      </c>
      <c r="K327" s="18" t="str">
        <f aca="false">IF($A327="","",IF(AND(ISNUMBER($I327),N($I327)&gt;=0),$I327,$J327))</f>
        <v/>
      </c>
      <c r="L327" s="19" t="str">
        <f aca="false">IF($A327="","",IF($K327="","Needs ADU",IF($K327&lt;=0,"No recent demand",IF(N($D327)&lt;=0,"Needs lead time","Planned"))))</f>
        <v/>
      </c>
      <c r="M327" s="8" t="str">
        <f aca="false">IF($A327="","",IF(ISNUMBER(MATCH($C327,Profiles!$A$2:$A$100,0)),$C327,DefaultProfile))</f>
        <v/>
      </c>
      <c r="N327" s="20" t="str">
        <f aca="false">IF($A327="","",INDEX(Profiles!$D$2:$D$100,MATCH($M327,Profiles!$A$2:$A$100,0)))</f>
        <v/>
      </c>
      <c r="O327" s="20" t="str">
        <f aca="false">IF($A327="","",INDEX(Profiles!$E$2:$E$100,MATCH($M327,Profiles!$A$2:$A$100,0)))</f>
        <v/>
      </c>
      <c r="P327" s="21" t="str">
        <f aca="false">IF($L327&lt;&gt;"Planned","",$K327*$D327*$N327*(1+$O327))</f>
        <v/>
      </c>
      <c r="Q327" s="21" t="str">
        <f aca="false">IF($L327&lt;&gt;"Planned","",$K327*$D327)</f>
        <v/>
      </c>
      <c r="R327" s="21" t="str">
        <f aca="false">IF($L327&lt;&gt;"Planned","",MAX(N($E327),$K327*$D327*$N327,$K327*N($G327)))</f>
        <v/>
      </c>
      <c r="S327" s="21" t="str">
        <f aca="false">IF($L327&lt;&gt;"Planned","",$P327)</f>
        <v/>
      </c>
      <c r="T327" s="21" t="str">
        <f aca="false">IF($L327&lt;&gt;"Planned","",$P327+$Q327)</f>
        <v/>
      </c>
      <c r="U327" s="21" t="str">
        <f aca="false">IF($L327&lt;&gt;"Planned","",$T327+$R327)</f>
        <v/>
      </c>
      <c r="V327" s="8" t="str">
        <f aca="false">IF($A327="","",SUMIFS('Open supply'!$C:$C,'Open supply'!$A:$A,$AF327))</f>
        <v/>
      </c>
      <c r="W327" s="8" t="str">
        <f aca="false">IF($A327="","",SUMIFS('Open supply'!$C:$C,'Open supply'!$A:$A,$AF327,'Open supply'!$B:$B,"&lt;"&amp;PlanDate))</f>
        <v/>
      </c>
      <c r="X327" s="8" t="str">
        <f aca="false">IF($A327="","",SUMIFS('Open demand'!$G:$G,'Open demand'!$A:$A,$AF327))</f>
        <v/>
      </c>
      <c r="Y327" s="8" t="str">
        <f aca="false">IF($L327&lt;&gt;"Planned","",N($H327)+$V327-$X327)</f>
        <v/>
      </c>
      <c r="Z327" s="19" t="str">
        <f aca="false">IF($L327&lt;&gt;"Planned","",IF($Y327&lt;=$S327,"Red",IF($Y327&lt;=$T327,"Yellow",IF($Y327&lt;=$U327,"Green","Above green"))))</f>
        <v/>
      </c>
      <c r="AA327" s="22" t="str">
        <f aca="false">IF(OR($L327&lt;&gt;"Planned",N($U327)&lt;=0),"",$Y327/$U327)</f>
        <v/>
      </c>
      <c r="AB327" s="8" t="str">
        <f aca="false">IF($L327&lt;&gt;"Planned","",IF($Y327&lt;=$T327,ROUNDUP(MAX($U327-$Y327,N($E327))/IF(N($F327)&gt;0,$F327,1)-0.000000001,0)*IF(N($F327)&gt;0,$F327,1),""))</f>
        <v/>
      </c>
      <c r="AC327" s="23" t="str">
        <f aca="false">IF(N($AB327)&gt;0,PlanDate+ROUNDUP($D327,0),"")</f>
        <v/>
      </c>
      <c r="AD327" s="19" t="str">
        <f aca="false">IF($L327&lt;&gt;"Planned","",IF(N($H327)&lt;=0,"Stockout",IF(N($H327)&lt;$S327*0.5,"Critical",IF(N($H327)&lt;=$S327,"Low",IF(N($H327)&gt;$U327,"Over top of green","OK")))))</f>
        <v/>
      </c>
      <c r="AE327" s="8" t="str">
        <f aca="false">IF($A327="","",$A327&amp;"")</f>
        <v/>
      </c>
      <c r="AF327" s="8" t="str">
        <f aca="false">IF($A327="","",SUBSTITUTE(SUBSTITUTE(SUBSTITUTE($A327&amp;"","~","~~"),"*","~*"),"?","~?"))</f>
        <v/>
      </c>
    </row>
    <row r="328" customFormat="false" ht="15" hidden="false" customHeight="false" outlineLevel="0" collapsed="false">
      <c r="A328" s="11"/>
      <c r="B328" s="11"/>
      <c r="C328" s="11"/>
      <c r="D328" s="16"/>
      <c r="E328" s="11"/>
      <c r="F328" s="11"/>
      <c r="G328" s="9"/>
      <c r="H328" s="11"/>
      <c r="I328" s="17"/>
      <c r="J328" s="18" t="str">
        <f aca="false">IF($A328="","",IF(COUNT(Usage!$C:$C)=0,"",MAX(0,SUMIFS(Usage!$C:$C,Usage!$A:$A,$AF328,Usage!$B:$B,"&gt;="&amp;(PlanDate-AduWindow),Usage!$B:$B,"&lt;"&amp;PlanDate))/AduWindow))</f>
        <v/>
      </c>
      <c r="K328" s="18" t="str">
        <f aca="false">IF($A328="","",IF(AND(ISNUMBER($I328),N($I328)&gt;=0),$I328,$J328))</f>
        <v/>
      </c>
      <c r="L328" s="19" t="str">
        <f aca="false">IF($A328="","",IF($K328="","Needs ADU",IF($K328&lt;=0,"No recent demand",IF(N($D328)&lt;=0,"Needs lead time","Planned"))))</f>
        <v/>
      </c>
      <c r="M328" s="8" t="str">
        <f aca="false">IF($A328="","",IF(ISNUMBER(MATCH($C328,Profiles!$A$2:$A$100,0)),$C328,DefaultProfile))</f>
        <v/>
      </c>
      <c r="N328" s="20" t="str">
        <f aca="false">IF($A328="","",INDEX(Profiles!$D$2:$D$100,MATCH($M328,Profiles!$A$2:$A$100,0)))</f>
        <v/>
      </c>
      <c r="O328" s="20" t="str">
        <f aca="false">IF($A328="","",INDEX(Profiles!$E$2:$E$100,MATCH($M328,Profiles!$A$2:$A$100,0)))</f>
        <v/>
      </c>
      <c r="P328" s="21" t="str">
        <f aca="false">IF($L328&lt;&gt;"Planned","",$K328*$D328*$N328*(1+$O328))</f>
        <v/>
      </c>
      <c r="Q328" s="21" t="str">
        <f aca="false">IF($L328&lt;&gt;"Planned","",$K328*$D328)</f>
        <v/>
      </c>
      <c r="R328" s="21" t="str">
        <f aca="false">IF($L328&lt;&gt;"Planned","",MAX(N($E328),$K328*$D328*$N328,$K328*N($G328)))</f>
        <v/>
      </c>
      <c r="S328" s="21" t="str">
        <f aca="false">IF($L328&lt;&gt;"Planned","",$P328)</f>
        <v/>
      </c>
      <c r="T328" s="21" t="str">
        <f aca="false">IF($L328&lt;&gt;"Planned","",$P328+$Q328)</f>
        <v/>
      </c>
      <c r="U328" s="21" t="str">
        <f aca="false">IF($L328&lt;&gt;"Planned","",$T328+$R328)</f>
        <v/>
      </c>
      <c r="V328" s="8" t="str">
        <f aca="false">IF($A328="","",SUMIFS('Open supply'!$C:$C,'Open supply'!$A:$A,$AF328))</f>
        <v/>
      </c>
      <c r="W328" s="8" t="str">
        <f aca="false">IF($A328="","",SUMIFS('Open supply'!$C:$C,'Open supply'!$A:$A,$AF328,'Open supply'!$B:$B,"&lt;"&amp;PlanDate))</f>
        <v/>
      </c>
      <c r="X328" s="8" t="str">
        <f aca="false">IF($A328="","",SUMIFS('Open demand'!$G:$G,'Open demand'!$A:$A,$AF328))</f>
        <v/>
      </c>
      <c r="Y328" s="8" t="str">
        <f aca="false">IF($L328&lt;&gt;"Planned","",N($H328)+$V328-$X328)</f>
        <v/>
      </c>
      <c r="Z328" s="19" t="str">
        <f aca="false">IF($L328&lt;&gt;"Planned","",IF($Y328&lt;=$S328,"Red",IF($Y328&lt;=$T328,"Yellow",IF($Y328&lt;=$U328,"Green","Above green"))))</f>
        <v/>
      </c>
      <c r="AA328" s="22" t="str">
        <f aca="false">IF(OR($L328&lt;&gt;"Planned",N($U328)&lt;=0),"",$Y328/$U328)</f>
        <v/>
      </c>
      <c r="AB328" s="8" t="str">
        <f aca="false">IF($L328&lt;&gt;"Planned","",IF($Y328&lt;=$T328,ROUNDUP(MAX($U328-$Y328,N($E328))/IF(N($F328)&gt;0,$F328,1)-0.000000001,0)*IF(N($F328)&gt;0,$F328,1),""))</f>
        <v/>
      </c>
      <c r="AC328" s="23" t="str">
        <f aca="false">IF(N($AB328)&gt;0,PlanDate+ROUNDUP($D328,0),"")</f>
        <v/>
      </c>
      <c r="AD328" s="19" t="str">
        <f aca="false">IF($L328&lt;&gt;"Planned","",IF(N($H328)&lt;=0,"Stockout",IF(N($H328)&lt;$S328*0.5,"Critical",IF(N($H328)&lt;=$S328,"Low",IF(N($H328)&gt;$U328,"Over top of green","OK")))))</f>
        <v/>
      </c>
      <c r="AE328" s="8" t="str">
        <f aca="false">IF($A328="","",$A328&amp;"")</f>
        <v/>
      </c>
      <c r="AF328" s="8" t="str">
        <f aca="false">IF($A328="","",SUBSTITUTE(SUBSTITUTE(SUBSTITUTE($A328&amp;"","~","~~"),"*","~*"),"?","~?"))</f>
        <v/>
      </c>
    </row>
    <row r="329" customFormat="false" ht="15" hidden="false" customHeight="false" outlineLevel="0" collapsed="false">
      <c r="A329" s="11"/>
      <c r="B329" s="11"/>
      <c r="C329" s="11"/>
      <c r="D329" s="16"/>
      <c r="E329" s="11"/>
      <c r="F329" s="11"/>
      <c r="G329" s="9"/>
      <c r="H329" s="11"/>
      <c r="I329" s="17"/>
      <c r="J329" s="18" t="str">
        <f aca="false">IF($A329="","",IF(COUNT(Usage!$C:$C)=0,"",MAX(0,SUMIFS(Usage!$C:$C,Usage!$A:$A,$AF329,Usage!$B:$B,"&gt;="&amp;(PlanDate-AduWindow),Usage!$B:$B,"&lt;"&amp;PlanDate))/AduWindow))</f>
        <v/>
      </c>
      <c r="K329" s="18" t="str">
        <f aca="false">IF($A329="","",IF(AND(ISNUMBER($I329),N($I329)&gt;=0),$I329,$J329))</f>
        <v/>
      </c>
      <c r="L329" s="19" t="str">
        <f aca="false">IF($A329="","",IF($K329="","Needs ADU",IF($K329&lt;=0,"No recent demand",IF(N($D329)&lt;=0,"Needs lead time","Planned"))))</f>
        <v/>
      </c>
      <c r="M329" s="8" t="str">
        <f aca="false">IF($A329="","",IF(ISNUMBER(MATCH($C329,Profiles!$A$2:$A$100,0)),$C329,DefaultProfile))</f>
        <v/>
      </c>
      <c r="N329" s="20" t="str">
        <f aca="false">IF($A329="","",INDEX(Profiles!$D$2:$D$100,MATCH($M329,Profiles!$A$2:$A$100,0)))</f>
        <v/>
      </c>
      <c r="O329" s="20" t="str">
        <f aca="false">IF($A329="","",INDEX(Profiles!$E$2:$E$100,MATCH($M329,Profiles!$A$2:$A$100,0)))</f>
        <v/>
      </c>
      <c r="P329" s="21" t="str">
        <f aca="false">IF($L329&lt;&gt;"Planned","",$K329*$D329*$N329*(1+$O329))</f>
        <v/>
      </c>
      <c r="Q329" s="21" t="str">
        <f aca="false">IF($L329&lt;&gt;"Planned","",$K329*$D329)</f>
        <v/>
      </c>
      <c r="R329" s="21" t="str">
        <f aca="false">IF($L329&lt;&gt;"Planned","",MAX(N($E329),$K329*$D329*$N329,$K329*N($G329)))</f>
        <v/>
      </c>
      <c r="S329" s="21" t="str">
        <f aca="false">IF($L329&lt;&gt;"Planned","",$P329)</f>
        <v/>
      </c>
      <c r="T329" s="21" t="str">
        <f aca="false">IF($L329&lt;&gt;"Planned","",$P329+$Q329)</f>
        <v/>
      </c>
      <c r="U329" s="21" t="str">
        <f aca="false">IF($L329&lt;&gt;"Planned","",$T329+$R329)</f>
        <v/>
      </c>
      <c r="V329" s="8" t="str">
        <f aca="false">IF($A329="","",SUMIFS('Open supply'!$C:$C,'Open supply'!$A:$A,$AF329))</f>
        <v/>
      </c>
      <c r="W329" s="8" t="str">
        <f aca="false">IF($A329="","",SUMIFS('Open supply'!$C:$C,'Open supply'!$A:$A,$AF329,'Open supply'!$B:$B,"&lt;"&amp;PlanDate))</f>
        <v/>
      </c>
      <c r="X329" s="8" t="str">
        <f aca="false">IF($A329="","",SUMIFS('Open demand'!$G:$G,'Open demand'!$A:$A,$AF329))</f>
        <v/>
      </c>
      <c r="Y329" s="8" t="str">
        <f aca="false">IF($L329&lt;&gt;"Planned","",N($H329)+$V329-$X329)</f>
        <v/>
      </c>
      <c r="Z329" s="19" t="str">
        <f aca="false">IF($L329&lt;&gt;"Planned","",IF($Y329&lt;=$S329,"Red",IF($Y329&lt;=$T329,"Yellow",IF($Y329&lt;=$U329,"Green","Above green"))))</f>
        <v/>
      </c>
      <c r="AA329" s="22" t="str">
        <f aca="false">IF(OR($L329&lt;&gt;"Planned",N($U329)&lt;=0),"",$Y329/$U329)</f>
        <v/>
      </c>
      <c r="AB329" s="8" t="str">
        <f aca="false">IF($L329&lt;&gt;"Planned","",IF($Y329&lt;=$T329,ROUNDUP(MAX($U329-$Y329,N($E329))/IF(N($F329)&gt;0,$F329,1)-0.000000001,0)*IF(N($F329)&gt;0,$F329,1),""))</f>
        <v/>
      </c>
      <c r="AC329" s="23" t="str">
        <f aca="false">IF(N($AB329)&gt;0,PlanDate+ROUNDUP($D329,0),"")</f>
        <v/>
      </c>
      <c r="AD329" s="19" t="str">
        <f aca="false">IF($L329&lt;&gt;"Planned","",IF(N($H329)&lt;=0,"Stockout",IF(N($H329)&lt;$S329*0.5,"Critical",IF(N($H329)&lt;=$S329,"Low",IF(N($H329)&gt;$U329,"Over top of green","OK")))))</f>
        <v/>
      </c>
      <c r="AE329" s="8" t="str">
        <f aca="false">IF($A329="","",$A329&amp;"")</f>
        <v/>
      </c>
      <c r="AF329" s="8" t="str">
        <f aca="false">IF($A329="","",SUBSTITUTE(SUBSTITUTE(SUBSTITUTE($A329&amp;"","~","~~"),"*","~*"),"?","~?"))</f>
        <v/>
      </c>
    </row>
    <row r="330" customFormat="false" ht="15" hidden="false" customHeight="false" outlineLevel="0" collapsed="false">
      <c r="A330" s="11"/>
      <c r="B330" s="11"/>
      <c r="C330" s="11"/>
      <c r="D330" s="16"/>
      <c r="E330" s="11"/>
      <c r="F330" s="11"/>
      <c r="G330" s="9"/>
      <c r="H330" s="11"/>
      <c r="I330" s="17"/>
      <c r="J330" s="18" t="str">
        <f aca="false">IF($A330="","",IF(COUNT(Usage!$C:$C)=0,"",MAX(0,SUMIFS(Usage!$C:$C,Usage!$A:$A,$AF330,Usage!$B:$B,"&gt;="&amp;(PlanDate-AduWindow),Usage!$B:$B,"&lt;"&amp;PlanDate))/AduWindow))</f>
        <v/>
      </c>
      <c r="K330" s="18" t="str">
        <f aca="false">IF($A330="","",IF(AND(ISNUMBER($I330),N($I330)&gt;=0),$I330,$J330))</f>
        <v/>
      </c>
      <c r="L330" s="19" t="str">
        <f aca="false">IF($A330="","",IF($K330="","Needs ADU",IF($K330&lt;=0,"No recent demand",IF(N($D330)&lt;=0,"Needs lead time","Planned"))))</f>
        <v/>
      </c>
      <c r="M330" s="8" t="str">
        <f aca="false">IF($A330="","",IF(ISNUMBER(MATCH($C330,Profiles!$A$2:$A$100,0)),$C330,DefaultProfile))</f>
        <v/>
      </c>
      <c r="N330" s="20" t="str">
        <f aca="false">IF($A330="","",INDEX(Profiles!$D$2:$D$100,MATCH($M330,Profiles!$A$2:$A$100,0)))</f>
        <v/>
      </c>
      <c r="O330" s="20" t="str">
        <f aca="false">IF($A330="","",INDEX(Profiles!$E$2:$E$100,MATCH($M330,Profiles!$A$2:$A$100,0)))</f>
        <v/>
      </c>
      <c r="P330" s="21" t="str">
        <f aca="false">IF($L330&lt;&gt;"Planned","",$K330*$D330*$N330*(1+$O330))</f>
        <v/>
      </c>
      <c r="Q330" s="21" t="str">
        <f aca="false">IF($L330&lt;&gt;"Planned","",$K330*$D330)</f>
        <v/>
      </c>
      <c r="R330" s="21" t="str">
        <f aca="false">IF($L330&lt;&gt;"Planned","",MAX(N($E330),$K330*$D330*$N330,$K330*N($G330)))</f>
        <v/>
      </c>
      <c r="S330" s="21" t="str">
        <f aca="false">IF($L330&lt;&gt;"Planned","",$P330)</f>
        <v/>
      </c>
      <c r="T330" s="21" t="str">
        <f aca="false">IF($L330&lt;&gt;"Planned","",$P330+$Q330)</f>
        <v/>
      </c>
      <c r="U330" s="21" t="str">
        <f aca="false">IF($L330&lt;&gt;"Planned","",$T330+$R330)</f>
        <v/>
      </c>
      <c r="V330" s="8" t="str">
        <f aca="false">IF($A330="","",SUMIFS('Open supply'!$C:$C,'Open supply'!$A:$A,$AF330))</f>
        <v/>
      </c>
      <c r="W330" s="8" t="str">
        <f aca="false">IF($A330="","",SUMIFS('Open supply'!$C:$C,'Open supply'!$A:$A,$AF330,'Open supply'!$B:$B,"&lt;"&amp;PlanDate))</f>
        <v/>
      </c>
      <c r="X330" s="8" t="str">
        <f aca="false">IF($A330="","",SUMIFS('Open demand'!$G:$G,'Open demand'!$A:$A,$AF330))</f>
        <v/>
      </c>
      <c r="Y330" s="8" t="str">
        <f aca="false">IF($L330&lt;&gt;"Planned","",N($H330)+$V330-$X330)</f>
        <v/>
      </c>
      <c r="Z330" s="19" t="str">
        <f aca="false">IF($L330&lt;&gt;"Planned","",IF($Y330&lt;=$S330,"Red",IF($Y330&lt;=$T330,"Yellow",IF($Y330&lt;=$U330,"Green","Above green"))))</f>
        <v/>
      </c>
      <c r="AA330" s="22" t="str">
        <f aca="false">IF(OR($L330&lt;&gt;"Planned",N($U330)&lt;=0),"",$Y330/$U330)</f>
        <v/>
      </c>
      <c r="AB330" s="8" t="str">
        <f aca="false">IF($L330&lt;&gt;"Planned","",IF($Y330&lt;=$T330,ROUNDUP(MAX($U330-$Y330,N($E330))/IF(N($F330)&gt;0,$F330,1)-0.000000001,0)*IF(N($F330)&gt;0,$F330,1),""))</f>
        <v/>
      </c>
      <c r="AC330" s="23" t="str">
        <f aca="false">IF(N($AB330)&gt;0,PlanDate+ROUNDUP($D330,0),"")</f>
        <v/>
      </c>
      <c r="AD330" s="19" t="str">
        <f aca="false">IF($L330&lt;&gt;"Planned","",IF(N($H330)&lt;=0,"Stockout",IF(N($H330)&lt;$S330*0.5,"Critical",IF(N($H330)&lt;=$S330,"Low",IF(N($H330)&gt;$U330,"Over top of green","OK")))))</f>
        <v/>
      </c>
      <c r="AE330" s="8" t="str">
        <f aca="false">IF($A330="","",$A330&amp;"")</f>
        <v/>
      </c>
      <c r="AF330" s="8" t="str">
        <f aca="false">IF($A330="","",SUBSTITUTE(SUBSTITUTE(SUBSTITUTE($A330&amp;"","~","~~"),"*","~*"),"?","~?"))</f>
        <v/>
      </c>
    </row>
    <row r="331" customFormat="false" ht="15" hidden="false" customHeight="false" outlineLevel="0" collapsed="false">
      <c r="A331" s="11"/>
      <c r="B331" s="11"/>
      <c r="C331" s="11"/>
      <c r="D331" s="16"/>
      <c r="E331" s="11"/>
      <c r="F331" s="11"/>
      <c r="G331" s="9"/>
      <c r="H331" s="11"/>
      <c r="I331" s="17"/>
      <c r="J331" s="18" t="str">
        <f aca="false">IF($A331="","",IF(COUNT(Usage!$C:$C)=0,"",MAX(0,SUMIFS(Usage!$C:$C,Usage!$A:$A,$AF331,Usage!$B:$B,"&gt;="&amp;(PlanDate-AduWindow),Usage!$B:$B,"&lt;"&amp;PlanDate))/AduWindow))</f>
        <v/>
      </c>
      <c r="K331" s="18" t="str">
        <f aca="false">IF($A331="","",IF(AND(ISNUMBER($I331),N($I331)&gt;=0),$I331,$J331))</f>
        <v/>
      </c>
      <c r="L331" s="19" t="str">
        <f aca="false">IF($A331="","",IF($K331="","Needs ADU",IF($K331&lt;=0,"No recent demand",IF(N($D331)&lt;=0,"Needs lead time","Planned"))))</f>
        <v/>
      </c>
      <c r="M331" s="8" t="str">
        <f aca="false">IF($A331="","",IF(ISNUMBER(MATCH($C331,Profiles!$A$2:$A$100,0)),$C331,DefaultProfile))</f>
        <v/>
      </c>
      <c r="N331" s="20" t="str">
        <f aca="false">IF($A331="","",INDEX(Profiles!$D$2:$D$100,MATCH($M331,Profiles!$A$2:$A$100,0)))</f>
        <v/>
      </c>
      <c r="O331" s="20" t="str">
        <f aca="false">IF($A331="","",INDEX(Profiles!$E$2:$E$100,MATCH($M331,Profiles!$A$2:$A$100,0)))</f>
        <v/>
      </c>
      <c r="P331" s="21" t="str">
        <f aca="false">IF($L331&lt;&gt;"Planned","",$K331*$D331*$N331*(1+$O331))</f>
        <v/>
      </c>
      <c r="Q331" s="21" t="str">
        <f aca="false">IF($L331&lt;&gt;"Planned","",$K331*$D331)</f>
        <v/>
      </c>
      <c r="R331" s="21" t="str">
        <f aca="false">IF($L331&lt;&gt;"Planned","",MAX(N($E331),$K331*$D331*$N331,$K331*N($G331)))</f>
        <v/>
      </c>
      <c r="S331" s="21" t="str">
        <f aca="false">IF($L331&lt;&gt;"Planned","",$P331)</f>
        <v/>
      </c>
      <c r="T331" s="21" t="str">
        <f aca="false">IF($L331&lt;&gt;"Planned","",$P331+$Q331)</f>
        <v/>
      </c>
      <c r="U331" s="21" t="str">
        <f aca="false">IF($L331&lt;&gt;"Planned","",$T331+$R331)</f>
        <v/>
      </c>
      <c r="V331" s="8" t="str">
        <f aca="false">IF($A331="","",SUMIFS('Open supply'!$C:$C,'Open supply'!$A:$A,$AF331))</f>
        <v/>
      </c>
      <c r="W331" s="8" t="str">
        <f aca="false">IF($A331="","",SUMIFS('Open supply'!$C:$C,'Open supply'!$A:$A,$AF331,'Open supply'!$B:$B,"&lt;"&amp;PlanDate))</f>
        <v/>
      </c>
      <c r="X331" s="8" t="str">
        <f aca="false">IF($A331="","",SUMIFS('Open demand'!$G:$G,'Open demand'!$A:$A,$AF331))</f>
        <v/>
      </c>
      <c r="Y331" s="8" t="str">
        <f aca="false">IF($L331&lt;&gt;"Planned","",N($H331)+$V331-$X331)</f>
        <v/>
      </c>
      <c r="Z331" s="19" t="str">
        <f aca="false">IF($L331&lt;&gt;"Planned","",IF($Y331&lt;=$S331,"Red",IF($Y331&lt;=$T331,"Yellow",IF($Y331&lt;=$U331,"Green","Above green"))))</f>
        <v/>
      </c>
      <c r="AA331" s="22" t="str">
        <f aca="false">IF(OR($L331&lt;&gt;"Planned",N($U331)&lt;=0),"",$Y331/$U331)</f>
        <v/>
      </c>
      <c r="AB331" s="8" t="str">
        <f aca="false">IF($L331&lt;&gt;"Planned","",IF($Y331&lt;=$T331,ROUNDUP(MAX($U331-$Y331,N($E331))/IF(N($F331)&gt;0,$F331,1)-0.000000001,0)*IF(N($F331)&gt;0,$F331,1),""))</f>
        <v/>
      </c>
      <c r="AC331" s="23" t="str">
        <f aca="false">IF(N($AB331)&gt;0,PlanDate+ROUNDUP($D331,0),"")</f>
        <v/>
      </c>
      <c r="AD331" s="19" t="str">
        <f aca="false">IF($L331&lt;&gt;"Planned","",IF(N($H331)&lt;=0,"Stockout",IF(N($H331)&lt;$S331*0.5,"Critical",IF(N($H331)&lt;=$S331,"Low",IF(N($H331)&gt;$U331,"Over top of green","OK")))))</f>
        <v/>
      </c>
      <c r="AE331" s="8" t="str">
        <f aca="false">IF($A331="","",$A331&amp;"")</f>
        <v/>
      </c>
      <c r="AF331" s="8" t="str">
        <f aca="false">IF($A331="","",SUBSTITUTE(SUBSTITUTE(SUBSTITUTE($A331&amp;"","~","~~"),"*","~*"),"?","~?"))</f>
        <v/>
      </c>
    </row>
    <row r="332" customFormat="false" ht="15" hidden="false" customHeight="false" outlineLevel="0" collapsed="false">
      <c r="A332" s="11"/>
      <c r="B332" s="11"/>
      <c r="C332" s="11"/>
      <c r="D332" s="16"/>
      <c r="E332" s="11"/>
      <c r="F332" s="11"/>
      <c r="G332" s="9"/>
      <c r="H332" s="11"/>
      <c r="I332" s="17"/>
      <c r="J332" s="18" t="str">
        <f aca="false">IF($A332="","",IF(COUNT(Usage!$C:$C)=0,"",MAX(0,SUMIFS(Usage!$C:$C,Usage!$A:$A,$AF332,Usage!$B:$B,"&gt;="&amp;(PlanDate-AduWindow),Usage!$B:$B,"&lt;"&amp;PlanDate))/AduWindow))</f>
        <v/>
      </c>
      <c r="K332" s="18" t="str">
        <f aca="false">IF($A332="","",IF(AND(ISNUMBER($I332),N($I332)&gt;=0),$I332,$J332))</f>
        <v/>
      </c>
      <c r="L332" s="19" t="str">
        <f aca="false">IF($A332="","",IF($K332="","Needs ADU",IF($K332&lt;=0,"No recent demand",IF(N($D332)&lt;=0,"Needs lead time","Planned"))))</f>
        <v/>
      </c>
      <c r="M332" s="8" t="str">
        <f aca="false">IF($A332="","",IF(ISNUMBER(MATCH($C332,Profiles!$A$2:$A$100,0)),$C332,DefaultProfile))</f>
        <v/>
      </c>
      <c r="N332" s="20" t="str">
        <f aca="false">IF($A332="","",INDEX(Profiles!$D$2:$D$100,MATCH($M332,Profiles!$A$2:$A$100,0)))</f>
        <v/>
      </c>
      <c r="O332" s="20" t="str">
        <f aca="false">IF($A332="","",INDEX(Profiles!$E$2:$E$100,MATCH($M332,Profiles!$A$2:$A$100,0)))</f>
        <v/>
      </c>
      <c r="P332" s="21" t="str">
        <f aca="false">IF($L332&lt;&gt;"Planned","",$K332*$D332*$N332*(1+$O332))</f>
        <v/>
      </c>
      <c r="Q332" s="21" t="str">
        <f aca="false">IF($L332&lt;&gt;"Planned","",$K332*$D332)</f>
        <v/>
      </c>
      <c r="R332" s="21" t="str">
        <f aca="false">IF($L332&lt;&gt;"Planned","",MAX(N($E332),$K332*$D332*$N332,$K332*N($G332)))</f>
        <v/>
      </c>
      <c r="S332" s="21" t="str">
        <f aca="false">IF($L332&lt;&gt;"Planned","",$P332)</f>
        <v/>
      </c>
      <c r="T332" s="21" t="str">
        <f aca="false">IF($L332&lt;&gt;"Planned","",$P332+$Q332)</f>
        <v/>
      </c>
      <c r="U332" s="21" t="str">
        <f aca="false">IF($L332&lt;&gt;"Planned","",$T332+$R332)</f>
        <v/>
      </c>
      <c r="V332" s="8" t="str">
        <f aca="false">IF($A332="","",SUMIFS('Open supply'!$C:$C,'Open supply'!$A:$A,$AF332))</f>
        <v/>
      </c>
      <c r="W332" s="8" t="str">
        <f aca="false">IF($A332="","",SUMIFS('Open supply'!$C:$C,'Open supply'!$A:$A,$AF332,'Open supply'!$B:$B,"&lt;"&amp;PlanDate))</f>
        <v/>
      </c>
      <c r="X332" s="8" t="str">
        <f aca="false">IF($A332="","",SUMIFS('Open demand'!$G:$G,'Open demand'!$A:$A,$AF332))</f>
        <v/>
      </c>
      <c r="Y332" s="8" t="str">
        <f aca="false">IF($L332&lt;&gt;"Planned","",N($H332)+$V332-$X332)</f>
        <v/>
      </c>
      <c r="Z332" s="19" t="str">
        <f aca="false">IF($L332&lt;&gt;"Planned","",IF($Y332&lt;=$S332,"Red",IF($Y332&lt;=$T332,"Yellow",IF($Y332&lt;=$U332,"Green","Above green"))))</f>
        <v/>
      </c>
      <c r="AA332" s="22" t="str">
        <f aca="false">IF(OR($L332&lt;&gt;"Planned",N($U332)&lt;=0),"",$Y332/$U332)</f>
        <v/>
      </c>
      <c r="AB332" s="8" t="str">
        <f aca="false">IF($L332&lt;&gt;"Planned","",IF($Y332&lt;=$T332,ROUNDUP(MAX($U332-$Y332,N($E332))/IF(N($F332)&gt;0,$F332,1)-0.000000001,0)*IF(N($F332)&gt;0,$F332,1),""))</f>
        <v/>
      </c>
      <c r="AC332" s="23" t="str">
        <f aca="false">IF(N($AB332)&gt;0,PlanDate+ROUNDUP($D332,0),"")</f>
        <v/>
      </c>
      <c r="AD332" s="19" t="str">
        <f aca="false">IF($L332&lt;&gt;"Planned","",IF(N($H332)&lt;=0,"Stockout",IF(N($H332)&lt;$S332*0.5,"Critical",IF(N($H332)&lt;=$S332,"Low",IF(N($H332)&gt;$U332,"Over top of green","OK")))))</f>
        <v/>
      </c>
      <c r="AE332" s="8" t="str">
        <f aca="false">IF($A332="","",$A332&amp;"")</f>
        <v/>
      </c>
      <c r="AF332" s="8" t="str">
        <f aca="false">IF($A332="","",SUBSTITUTE(SUBSTITUTE(SUBSTITUTE($A332&amp;"","~","~~"),"*","~*"),"?","~?"))</f>
        <v/>
      </c>
    </row>
    <row r="333" customFormat="false" ht="15" hidden="false" customHeight="false" outlineLevel="0" collapsed="false">
      <c r="A333" s="11"/>
      <c r="B333" s="11"/>
      <c r="C333" s="11"/>
      <c r="D333" s="16"/>
      <c r="E333" s="11"/>
      <c r="F333" s="11"/>
      <c r="G333" s="9"/>
      <c r="H333" s="11"/>
      <c r="I333" s="17"/>
      <c r="J333" s="18" t="str">
        <f aca="false">IF($A333="","",IF(COUNT(Usage!$C:$C)=0,"",MAX(0,SUMIFS(Usage!$C:$C,Usage!$A:$A,$AF333,Usage!$B:$B,"&gt;="&amp;(PlanDate-AduWindow),Usage!$B:$B,"&lt;"&amp;PlanDate))/AduWindow))</f>
        <v/>
      </c>
      <c r="K333" s="18" t="str">
        <f aca="false">IF($A333="","",IF(AND(ISNUMBER($I333),N($I333)&gt;=0),$I333,$J333))</f>
        <v/>
      </c>
      <c r="L333" s="19" t="str">
        <f aca="false">IF($A333="","",IF($K333="","Needs ADU",IF($K333&lt;=0,"No recent demand",IF(N($D333)&lt;=0,"Needs lead time","Planned"))))</f>
        <v/>
      </c>
      <c r="M333" s="8" t="str">
        <f aca="false">IF($A333="","",IF(ISNUMBER(MATCH($C333,Profiles!$A$2:$A$100,0)),$C333,DefaultProfile))</f>
        <v/>
      </c>
      <c r="N333" s="20" t="str">
        <f aca="false">IF($A333="","",INDEX(Profiles!$D$2:$D$100,MATCH($M333,Profiles!$A$2:$A$100,0)))</f>
        <v/>
      </c>
      <c r="O333" s="20" t="str">
        <f aca="false">IF($A333="","",INDEX(Profiles!$E$2:$E$100,MATCH($M333,Profiles!$A$2:$A$100,0)))</f>
        <v/>
      </c>
      <c r="P333" s="21" t="str">
        <f aca="false">IF($L333&lt;&gt;"Planned","",$K333*$D333*$N333*(1+$O333))</f>
        <v/>
      </c>
      <c r="Q333" s="21" t="str">
        <f aca="false">IF($L333&lt;&gt;"Planned","",$K333*$D333)</f>
        <v/>
      </c>
      <c r="R333" s="21" t="str">
        <f aca="false">IF($L333&lt;&gt;"Planned","",MAX(N($E333),$K333*$D333*$N333,$K333*N($G333)))</f>
        <v/>
      </c>
      <c r="S333" s="21" t="str">
        <f aca="false">IF($L333&lt;&gt;"Planned","",$P333)</f>
        <v/>
      </c>
      <c r="T333" s="21" t="str">
        <f aca="false">IF($L333&lt;&gt;"Planned","",$P333+$Q333)</f>
        <v/>
      </c>
      <c r="U333" s="21" t="str">
        <f aca="false">IF($L333&lt;&gt;"Planned","",$T333+$R333)</f>
        <v/>
      </c>
      <c r="V333" s="8" t="str">
        <f aca="false">IF($A333="","",SUMIFS('Open supply'!$C:$C,'Open supply'!$A:$A,$AF333))</f>
        <v/>
      </c>
      <c r="W333" s="8" t="str">
        <f aca="false">IF($A333="","",SUMIFS('Open supply'!$C:$C,'Open supply'!$A:$A,$AF333,'Open supply'!$B:$B,"&lt;"&amp;PlanDate))</f>
        <v/>
      </c>
      <c r="X333" s="8" t="str">
        <f aca="false">IF($A333="","",SUMIFS('Open demand'!$G:$G,'Open demand'!$A:$A,$AF333))</f>
        <v/>
      </c>
      <c r="Y333" s="8" t="str">
        <f aca="false">IF($L333&lt;&gt;"Planned","",N($H333)+$V333-$X333)</f>
        <v/>
      </c>
      <c r="Z333" s="19" t="str">
        <f aca="false">IF($L333&lt;&gt;"Planned","",IF($Y333&lt;=$S333,"Red",IF($Y333&lt;=$T333,"Yellow",IF($Y333&lt;=$U333,"Green","Above green"))))</f>
        <v/>
      </c>
      <c r="AA333" s="22" t="str">
        <f aca="false">IF(OR($L333&lt;&gt;"Planned",N($U333)&lt;=0),"",$Y333/$U333)</f>
        <v/>
      </c>
      <c r="AB333" s="8" t="str">
        <f aca="false">IF($L333&lt;&gt;"Planned","",IF($Y333&lt;=$T333,ROUNDUP(MAX($U333-$Y333,N($E333))/IF(N($F333)&gt;0,$F333,1)-0.000000001,0)*IF(N($F333)&gt;0,$F333,1),""))</f>
        <v/>
      </c>
      <c r="AC333" s="23" t="str">
        <f aca="false">IF(N($AB333)&gt;0,PlanDate+ROUNDUP($D333,0),"")</f>
        <v/>
      </c>
      <c r="AD333" s="19" t="str">
        <f aca="false">IF($L333&lt;&gt;"Planned","",IF(N($H333)&lt;=0,"Stockout",IF(N($H333)&lt;$S333*0.5,"Critical",IF(N($H333)&lt;=$S333,"Low",IF(N($H333)&gt;$U333,"Over top of green","OK")))))</f>
        <v/>
      </c>
      <c r="AE333" s="8" t="str">
        <f aca="false">IF($A333="","",$A333&amp;"")</f>
        <v/>
      </c>
      <c r="AF333" s="8" t="str">
        <f aca="false">IF($A333="","",SUBSTITUTE(SUBSTITUTE(SUBSTITUTE($A333&amp;"","~","~~"),"*","~*"),"?","~?"))</f>
        <v/>
      </c>
    </row>
    <row r="334" customFormat="false" ht="15" hidden="false" customHeight="false" outlineLevel="0" collapsed="false">
      <c r="A334" s="11"/>
      <c r="B334" s="11"/>
      <c r="C334" s="11"/>
      <c r="D334" s="16"/>
      <c r="E334" s="11"/>
      <c r="F334" s="11"/>
      <c r="G334" s="9"/>
      <c r="H334" s="11"/>
      <c r="I334" s="17"/>
      <c r="J334" s="18" t="str">
        <f aca="false">IF($A334="","",IF(COUNT(Usage!$C:$C)=0,"",MAX(0,SUMIFS(Usage!$C:$C,Usage!$A:$A,$AF334,Usage!$B:$B,"&gt;="&amp;(PlanDate-AduWindow),Usage!$B:$B,"&lt;"&amp;PlanDate))/AduWindow))</f>
        <v/>
      </c>
      <c r="K334" s="18" t="str">
        <f aca="false">IF($A334="","",IF(AND(ISNUMBER($I334),N($I334)&gt;=0),$I334,$J334))</f>
        <v/>
      </c>
      <c r="L334" s="19" t="str">
        <f aca="false">IF($A334="","",IF($K334="","Needs ADU",IF($K334&lt;=0,"No recent demand",IF(N($D334)&lt;=0,"Needs lead time","Planned"))))</f>
        <v/>
      </c>
      <c r="M334" s="8" t="str">
        <f aca="false">IF($A334="","",IF(ISNUMBER(MATCH($C334,Profiles!$A$2:$A$100,0)),$C334,DefaultProfile))</f>
        <v/>
      </c>
      <c r="N334" s="20" t="str">
        <f aca="false">IF($A334="","",INDEX(Profiles!$D$2:$D$100,MATCH($M334,Profiles!$A$2:$A$100,0)))</f>
        <v/>
      </c>
      <c r="O334" s="20" t="str">
        <f aca="false">IF($A334="","",INDEX(Profiles!$E$2:$E$100,MATCH($M334,Profiles!$A$2:$A$100,0)))</f>
        <v/>
      </c>
      <c r="P334" s="21" t="str">
        <f aca="false">IF($L334&lt;&gt;"Planned","",$K334*$D334*$N334*(1+$O334))</f>
        <v/>
      </c>
      <c r="Q334" s="21" t="str">
        <f aca="false">IF($L334&lt;&gt;"Planned","",$K334*$D334)</f>
        <v/>
      </c>
      <c r="R334" s="21" t="str">
        <f aca="false">IF($L334&lt;&gt;"Planned","",MAX(N($E334),$K334*$D334*$N334,$K334*N($G334)))</f>
        <v/>
      </c>
      <c r="S334" s="21" t="str">
        <f aca="false">IF($L334&lt;&gt;"Planned","",$P334)</f>
        <v/>
      </c>
      <c r="T334" s="21" t="str">
        <f aca="false">IF($L334&lt;&gt;"Planned","",$P334+$Q334)</f>
        <v/>
      </c>
      <c r="U334" s="21" t="str">
        <f aca="false">IF($L334&lt;&gt;"Planned","",$T334+$R334)</f>
        <v/>
      </c>
      <c r="V334" s="8" t="str">
        <f aca="false">IF($A334="","",SUMIFS('Open supply'!$C:$C,'Open supply'!$A:$A,$AF334))</f>
        <v/>
      </c>
      <c r="W334" s="8" t="str">
        <f aca="false">IF($A334="","",SUMIFS('Open supply'!$C:$C,'Open supply'!$A:$A,$AF334,'Open supply'!$B:$B,"&lt;"&amp;PlanDate))</f>
        <v/>
      </c>
      <c r="X334" s="8" t="str">
        <f aca="false">IF($A334="","",SUMIFS('Open demand'!$G:$G,'Open demand'!$A:$A,$AF334))</f>
        <v/>
      </c>
      <c r="Y334" s="8" t="str">
        <f aca="false">IF($L334&lt;&gt;"Planned","",N($H334)+$V334-$X334)</f>
        <v/>
      </c>
      <c r="Z334" s="19" t="str">
        <f aca="false">IF($L334&lt;&gt;"Planned","",IF($Y334&lt;=$S334,"Red",IF($Y334&lt;=$T334,"Yellow",IF($Y334&lt;=$U334,"Green","Above green"))))</f>
        <v/>
      </c>
      <c r="AA334" s="22" t="str">
        <f aca="false">IF(OR($L334&lt;&gt;"Planned",N($U334)&lt;=0),"",$Y334/$U334)</f>
        <v/>
      </c>
      <c r="AB334" s="8" t="str">
        <f aca="false">IF($L334&lt;&gt;"Planned","",IF($Y334&lt;=$T334,ROUNDUP(MAX($U334-$Y334,N($E334))/IF(N($F334)&gt;0,$F334,1)-0.000000001,0)*IF(N($F334)&gt;0,$F334,1),""))</f>
        <v/>
      </c>
      <c r="AC334" s="23" t="str">
        <f aca="false">IF(N($AB334)&gt;0,PlanDate+ROUNDUP($D334,0),"")</f>
        <v/>
      </c>
      <c r="AD334" s="19" t="str">
        <f aca="false">IF($L334&lt;&gt;"Planned","",IF(N($H334)&lt;=0,"Stockout",IF(N($H334)&lt;$S334*0.5,"Critical",IF(N($H334)&lt;=$S334,"Low",IF(N($H334)&gt;$U334,"Over top of green","OK")))))</f>
        <v/>
      </c>
      <c r="AE334" s="8" t="str">
        <f aca="false">IF($A334="","",$A334&amp;"")</f>
        <v/>
      </c>
      <c r="AF334" s="8" t="str">
        <f aca="false">IF($A334="","",SUBSTITUTE(SUBSTITUTE(SUBSTITUTE($A334&amp;"","~","~~"),"*","~*"),"?","~?"))</f>
        <v/>
      </c>
    </row>
    <row r="335" customFormat="false" ht="15" hidden="false" customHeight="false" outlineLevel="0" collapsed="false">
      <c r="A335" s="11"/>
      <c r="B335" s="11"/>
      <c r="C335" s="11"/>
      <c r="D335" s="16"/>
      <c r="E335" s="11"/>
      <c r="F335" s="11"/>
      <c r="G335" s="9"/>
      <c r="H335" s="11"/>
      <c r="I335" s="17"/>
      <c r="J335" s="18" t="str">
        <f aca="false">IF($A335="","",IF(COUNT(Usage!$C:$C)=0,"",MAX(0,SUMIFS(Usage!$C:$C,Usage!$A:$A,$AF335,Usage!$B:$B,"&gt;="&amp;(PlanDate-AduWindow),Usage!$B:$B,"&lt;"&amp;PlanDate))/AduWindow))</f>
        <v/>
      </c>
      <c r="K335" s="18" t="str">
        <f aca="false">IF($A335="","",IF(AND(ISNUMBER($I335),N($I335)&gt;=0),$I335,$J335))</f>
        <v/>
      </c>
      <c r="L335" s="19" t="str">
        <f aca="false">IF($A335="","",IF($K335="","Needs ADU",IF($K335&lt;=0,"No recent demand",IF(N($D335)&lt;=0,"Needs lead time","Planned"))))</f>
        <v/>
      </c>
      <c r="M335" s="8" t="str">
        <f aca="false">IF($A335="","",IF(ISNUMBER(MATCH($C335,Profiles!$A$2:$A$100,0)),$C335,DefaultProfile))</f>
        <v/>
      </c>
      <c r="N335" s="20" t="str">
        <f aca="false">IF($A335="","",INDEX(Profiles!$D$2:$D$100,MATCH($M335,Profiles!$A$2:$A$100,0)))</f>
        <v/>
      </c>
      <c r="O335" s="20" t="str">
        <f aca="false">IF($A335="","",INDEX(Profiles!$E$2:$E$100,MATCH($M335,Profiles!$A$2:$A$100,0)))</f>
        <v/>
      </c>
      <c r="P335" s="21" t="str">
        <f aca="false">IF($L335&lt;&gt;"Planned","",$K335*$D335*$N335*(1+$O335))</f>
        <v/>
      </c>
      <c r="Q335" s="21" t="str">
        <f aca="false">IF($L335&lt;&gt;"Planned","",$K335*$D335)</f>
        <v/>
      </c>
      <c r="R335" s="21" t="str">
        <f aca="false">IF($L335&lt;&gt;"Planned","",MAX(N($E335),$K335*$D335*$N335,$K335*N($G335)))</f>
        <v/>
      </c>
      <c r="S335" s="21" t="str">
        <f aca="false">IF($L335&lt;&gt;"Planned","",$P335)</f>
        <v/>
      </c>
      <c r="T335" s="21" t="str">
        <f aca="false">IF($L335&lt;&gt;"Planned","",$P335+$Q335)</f>
        <v/>
      </c>
      <c r="U335" s="21" t="str">
        <f aca="false">IF($L335&lt;&gt;"Planned","",$T335+$R335)</f>
        <v/>
      </c>
      <c r="V335" s="8" t="str">
        <f aca="false">IF($A335="","",SUMIFS('Open supply'!$C:$C,'Open supply'!$A:$A,$AF335))</f>
        <v/>
      </c>
      <c r="W335" s="8" t="str">
        <f aca="false">IF($A335="","",SUMIFS('Open supply'!$C:$C,'Open supply'!$A:$A,$AF335,'Open supply'!$B:$B,"&lt;"&amp;PlanDate))</f>
        <v/>
      </c>
      <c r="X335" s="8" t="str">
        <f aca="false">IF($A335="","",SUMIFS('Open demand'!$G:$G,'Open demand'!$A:$A,$AF335))</f>
        <v/>
      </c>
      <c r="Y335" s="8" t="str">
        <f aca="false">IF($L335&lt;&gt;"Planned","",N($H335)+$V335-$X335)</f>
        <v/>
      </c>
      <c r="Z335" s="19" t="str">
        <f aca="false">IF($L335&lt;&gt;"Planned","",IF($Y335&lt;=$S335,"Red",IF($Y335&lt;=$T335,"Yellow",IF($Y335&lt;=$U335,"Green","Above green"))))</f>
        <v/>
      </c>
      <c r="AA335" s="22" t="str">
        <f aca="false">IF(OR($L335&lt;&gt;"Planned",N($U335)&lt;=0),"",$Y335/$U335)</f>
        <v/>
      </c>
      <c r="AB335" s="8" t="str">
        <f aca="false">IF($L335&lt;&gt;"Planned","",IF($Y335&lt;=$T335,ROUNDUP(MAX($U335-$Y335,N($E335))/IF(N($F335)&gt;0,$F335,1)-0.000000001,0)*IF(N($F335)&gt;0,$F335,1),""))</f>
        <v/>
      </c>
      <c r="AC335" s="23" t="str">
        <f aca="false">IF(N($AB335)&gt;0,PlanDate+ROUNDUP($D335,0),"")</f>
        <v/>
      </c>
      <c r="AD335" s="19" t="str">
        <f aca="false">IF($L335&lt;&gt;"Planned","",IF(N($H335)&lt;=0,"Stockout",IF(N($H335)&lt;$S335*0.5,"Critical",IF(N($H335)&lt;=$S335,"Low",IF(N($H335)&gt;$U335,"Over top of green","OK")))))</f>
        <v/>
      </c>
      <c r="AE335" s="8" t="str">
        <f aca="false">IF($A335="","",$A335&amp;"")</f>
        <v/>
      </c>
      <c r="AF335" s="8" t="str">
        <f aca="false">IF($A335="","",SUBSTITUTE(SUBSTITUTE(SUBSTITUTE($A335&amp;"","~","~~"),"*","~*"),"?","~?"))</f>
        <v/>
      </c>
    </row>
    <row r="336" customFormat="false" ht="15" hidden="false" customHeight="false" outlineLevel="0" collapsed="false">
      <c r="A336" s="11"/>
      <c r="B336" s="11"/>
      <c r="C336" s="11"/>
      <c r="D336" s="16"/>
      <c r="E336" s="11"/>
      <c r="F336" s="11"/>
      <c r="G336" s="9"/>
      <c r="H336" s="11"/>
      <c r="I336" s="17"/>
      <c r="J336" s="18" t="str">
        <f aca="false">IF($A336="","",IF(COUNT(Usage!$C:$C)=0,"",MAX(0,SUMIFS(Usage!$C:$C,Usage!$A:$A,$AF336,Usage!$B:$B,"&gt;="&amp;(PlanDate-AduWindow),Usage!$B:$B,"&lt;"&amp;PlanDate))/AduWindow))</f>
        <v/>
      </c>
      <c r="K336" s="18" t="str">
        <f aca="false">IF($A336="","",IF(AND(ISNUMBER($I336),N($I336)&gt;=0),$I336,$J336))</f>
        <v/>
      </c>
      <c r="L336" s="19" t="str">
        <f aca="false">IF($A336="","",IF($K336="","Needs ADU",IF($K336&lt;=0,"No recent demand",IF(N($D336)&lt;=0,"Needs lead time","Planned"))))</f>
        <v/>
      </c>
      <c r="M336" s="8" t="str">
        <f aca="false">IF($A336="","",IF(ISNUMBER(MATCH($C336,Profiles!$A$2:$A$100,0)),$C336,DefaultProfile))</f>
        <v/>
      </c>
      <c r="N336" s="20" t="str">
        <f aca="false">IF($A336="","",INDEX(Profiles!$D$2:$D$100,MATCH($M336,Profiles!$A$2:$A$100,0)))</f>
        <v/>
      </c>
      <c r="O336" s="20" t="str">
        <f aca="false">IF($A336="","",INDEX(Profiles!$E$2:$E$100,MATCH($M336,Profiles!$A$2:$A$100,0)))</f>
        <v/>
      </c>
      <c r="P336" s="21" t="str">
        <f aca="false">IF($L336&lt;&gt;"Planned","",$K336*$D336*$N336*(1+$O336))</f>
        <v/>
      </c>
      <c r="Q336" s="21" t="str">
        <f aca="false">IF($L336&lt;&gt;"Planned","",$K336*$D336)</f>
        <v/>
      </c>
      <c r="R336" s="21" t="str">
        <f aca="false">IF($L336&lt;&gt;"Planned","",MAX(N($E336),$K336*$D336*$N336,$K336*N($G336)))</f>
        <v/>
      </c>
      <c r="S336" s="21" t="str">
        <f aca="false">IF($L336&lt;&gt;"Planned","",$P336)</f>
        <v/>
      </c>
      <c r="T336" s="21" t="str">
        <f aca="false">IF($L336&lt;&gt;"Planned","",$P336+$Q336)</f>
        <v/>
      </c>
      <c r="U336" s="21" t="str">
        <f aca="false">IF($L336&lt;&gt;"Planned","",$T336+$R336)</f>
        <v/>
      </c>
      <c r="V336" s="8" t="str">
        <f aca="false">IF($A336="","",SUMIFS('Open supply'!$C:$C,'Open supply'!$A:$A,$AF336))</f>
        <v/>
      </c>
      <c r="W336" s="8" t="str">
        <f aca="false">IF($A336="","",SUMIFS('Open supply'!$C:$C,'Open supply'!$A:$A,$AF336,'Open supply'!$B:$B,"&lt;"&amp;PlanDate))</f>
        <v/>
      </c>
      <c r="X336" s="8" t="str">
        <f aca="false">IF($A336="","",SUMIFS('Open demand'!$G:$G,'Open demand'!$A:$A,$AF336))</f>
        <v/>
      </c>
      <c r="Y336" s="8" t="str">
        <f aca="false">IF($L336&lt;&gt;"Planned","",N($H336)+$V336-$X336)</f>
        <v/>
      </c>
      <c r="Z336" s="19" t="str">
        <f aca="false">IF($L336&lt;&gt;"Planned","",IF($Y336&lt;=$S336,"Red",IF($Y336&lt;=$T336,"Yellow",IF($Y336&lt;=$U336,"Green","Above green"))))</f>
        <v/>
      </c>
      <c r="AA336" s="22" t="str">
        <f aca="false">IF(OR($L336&lt;&gt;"Planned",N($U336)&lt;=0),"",$Y336/$U336)</f>
        <v/>
      </c>
      <c r="AB336" s="8" t="str">
        <f aca="false">IF($L336&lt;&gt;"Planned","",IF($Y336&lt;=$T336,ROUNDUP(MAX($U336-$Y336,N($E336))/IF(N($F336)&gt;0,$F336,1)-0.000000001,0)*IF(N($F336)&gt;0,$F336,1),""))</f>
        <v/>
      </c>
      <c r="AC336" s="23" t="str">
        <f aca="false">IF(N($AB336)&gt;0,PlanDate+ROUNDUP($D336,0),"")</f>
        <v/>
      </c>
      <c r="AD336" s="19" t="str">
        <f aca="false">IF($L336&lt;&gt;"Planned","",IF(N($H336)&lt;=0,"Stockout",IF(N($H336)&lt;$S336*0.5,"Critical",IF(N($H336)&lt;=$S336,"Low",IF(N($H336)&gt;$U336,"Over top of green","OK")))))</f>
        <v/>
      </c>
      <c r="AE336" s="8" t="str">
        <f aca="false">IF($A336="","",$A336&amp;"")</f>
        <v/>
      </c>
      <c r="AF336" s="8" t="str">
        <f aca="false">IF($A336="","",SUBSTITUTE(SUBSTITUTE(SUBSTITUTE($A336&amp;"","~","~~"),"*","~*"),"?","~?"))</f>
        <v/>
      </c>
    </row>
    <row r="337" customFormat="false" ht="15" hidden="false" customHeight="false" outlineLevel="0" collapsed="false">
      <c r="A337" s="11"/>
      <c r="B337" s="11"/>
      <c r="C337" s="11"/>
      <c r="D337" s="16"/>
      <c r="E337" s="11"/>
      <c r="F337" s="11"/>
      <c r="G337" s="9"/>
      <c r="H337" s="11"/>
      <c r="I337" s="17"/>
      <c r="J337" s="18" t="str">
        <f aca="false">IF($A337="","",IF(COUNT(Usage!$C:$C)=0,"",MAX(0,SUMIFS(Usage!$C:$C,Usage!$A:$A,$AF337,Usage!$B:$B,"&gt;="&amp;(PlanDate-AduWindow),Usage!$B:$B,"&lt;"&amp;PlanDate))/AduWindow))</f>
        <v/>
      </c>
      <c r="K337" s="18" t="str">
        <f aca="false">IF($A337="","",IF(AND(ISNUMBER($I337),N($I337)&gt;=0),$I337,$J337))</f>
        <v/>
      </c>
      <c r="L337" s="19" t="str">
        <f aca="false">IF($A337="","",IF($K337="","Needs ADU",IF($K337&lt;=0,"No recent demand",IF(N($D337)&lt;=0,"Needs lead time","Planned"))))</f>
        <v/>
      </c>
      <c r="M337" s="8" t="str">
        <f aca="false">IF($A337="","",IF(ISNUMBER(MATCH($C337,Profiles!$A$2:$A$100,0)),$C337,DefaultProfile))</f>
        <v/>
      </c>
      <c r="N337" s="20" t="str">
        <f aca="false">IF($A337="","",INDEX(Profiles!$D$2:$D$100,MATCH($M337,Profiles!$A$2:$A$100,0)))</f>
        <v/>
      </c>
      <c r="O337" s="20" t="str">
        <f aca="false">IF($A337="","",INDEX(Profiles!$E$2:$E$100,MATCH($M337,Profiles!$A$2:$A$100,0)))</f>
        <v/>
      </c>
      <c r="P337" s="21" t="str">
        <f aca="false">IF($L337&lt;&gt;"Planned","",$K337*$D337*$N337*(1+$O337))</f>
        <v/>
      </c>
      <c r="Q337" s="21" t="str">
        <f aca="false">IF($L337&lt;&gt;"Planned","",$K337*$D337)</f>
        <v/>
      </c>
      <c r="R337" s="21" t="str">
        <f aca="false">IF($L337&lt;&gt;"Planned","",MAX(N($E337),$K337*$D337*$N337,$K337*N($G337)))</f>
        <v/>
      </c>
      <c r="S337" s="21" t="str">
        <f aca="false">IF($L337&lt;&gt;"Planned","",$P337)</f>
        <v/>
      </c>
      <c r="T337" s="21" t="str">
        <f aca="false">IF($L337&lt;&gt;"Planned","",$P337+$Q337)</f>
        <v/>
      </c>
      <c r="U337" s="21" t="str">
        <f aca="false">IF($L337&lt;&gt;"Planned","",$T337+$R337)</f>
        <v/>
      </c>
      <c r="V337" s="8" t="str">
        <f aca="false">IF($A337="","",SUMIFS('Open supply'!$C:$C,'Open supply'!$A:$A,$AF337))</f>
        <v/>
      </c>
      <c r="W337" s="8" t="str">
        <f aca="false">IF($A337="","",SUMIFS('Open supply'!$C:$C,'Open supply'!$A:$A,$AF337,'Open supply'!$B:$B,"&lt;"&amp;PlanDate))</f>
        <v/>
      </c>
      <c r="X337" s="8" t="str">
        <f aca="false">IF($A337="","",SUMIFS('Open demand'!$G:$G,'Open demand'!$A:$A,$AF337))</f>
        <v/>
      </c>
      <c r="Y337" s="8" t="str">
        <f aca="false">IF($L337&lt;&gt;"Planned","",N($H337)+$V337-$X337)</f>
        <v/>
      </c>
      <c r="Z337" s="19" t="str">
        <f aca="false">IF($L337&lt;&gt;"Planned","",IF($Y337&lt;=$S337,"Red",IF($Y337&lt;=$T337,"Yellow",IF($Y337&lt;=$U337,"Green","Above green"))))</f>
        <v/>
      </c>
      <c r="AA337" s="22" t="str">
        <f aca="false">IF(OR($L337&lt;&gt;"Planned",N($U337)&lt;=0),"",$Y337/$U337)</f>
        <v/>
      </c>
      <c r="AB337" s="8" t="str">
        <f aca="false">IF($L337&lt;&gt;"Planned","",IF($Y337&lt;=$T337,ROUNDUP(MAX($U337-$Y337,N($E337))/IF(N($F337)&gt;0,$F337,1)-0.000000001,0)*IF(N($F337)&gt;0,$F337,1),""))</f>
        <v/>
      </c>
      <c r="AC337" s="23" t="str">
        <f aca="false">IF(N($AB337)&gt;0,PlanDate+ROUNDUP($D337,0),"")</f>
        <v/>
      </c>
      <c r="AD337" s="19" t="str">
        <f aca="false">IF($L337&lt;&gt;"Planned","",IF(N($H337)&lt;=0,"Stockout",IF(N($H337)&lt;$S337*0.5,"Critical",IF(N($H337)&lt;=$S337,"Low",IF(N($H337)&gt;$U337,"Over top of green","OK")))))</f>
        <v/>
      </c>
      <c r="AE337" s="8" t="str">
        <f aca="false">IF($A337="","",$A337&amp;"")</f>
        <v/>
      </c>
      <c r="AF337" s="8" t="str">
        <f aca="false">IF($A337="","",SUBSTITUTE(SUBSTITUTE(SUBSTITUTE($A337&amp;"","~","~~"),"*","~*"),"?","~?"))</f>
        <v/>
      </c>
    </row>
    <row r="338" customFormat="false" ht="15" hidden="false" customHeight="false" outlineLevel="0" collapsed="false">
      <c r="A338" s="11"/>
      <c r="B338" s="11"/>
      <c r="C338" s="11"/>
      <c r="D338" s="16"/>
      <c r="E338" s="11"/>
      <c r="F338" s="11"/>
      <c r="G338" s="9"/>
      <c r="H338" s="11"/>
      <c r="I338" s="17"/>
      <c r="J338" s="18" t="str">
        <f aca="false">IF($A338="","",IF(COUNT(Usage!$C:$C)=0,"",MAX(0,SUMIFS(Usage!$C:$C,Usage!$A:$A,$AF338,Usage!$B:$B,"&gt;="&amp;(PlanDate-AduWindow),Usage!$B:$B,"&lt;"&amp;PlanDate))/AduWindow))</f>
        <v/>
      </c>
      <c r="K338" s="18" t="str">
        <f aca="false">IF($A338="","",IF(AND(ISNUMBER($I338),N($I338)&gt;=0),$I338,$J338))</f>
        <v/>
      </c>
      <c r="L338" s="19" t="str">
        <f aca="false">IF($A338="","",IF($K338="","Needs ADU",IF($K338&lt;=0,"No recent demand",IF(N($D338)&lt;=0,"Needs lead time","Planned"))))</f>
        <v/>
      </c>
      <c r="M338" s="8" t="str">
        <f aca="false">IF($A338="","",IF(ISNUMBER(MATCH($C338,Profiles!$A$2:$A$100,0)),$C338,DefaultProfile))</f>
        <v/>
      </c>
      <c r="N338" s="20" t="str">
        <f aca="false">IF($A338="","",INDEX(Profiles!$D$2:$D$100,MATCH($M338,Profiles!$A$2:$A$100,0)))</f>
        <v/>
      </c>
      <c r="O338" s="20" t="str">
        <f aca="false">IF($A338="","",INDEX(Profiles!$E$2:$E$100,MATCH($M338,Profiles!$A$2:$A$100,0)))</f>
        <v/>
      </c>
      <c r="P338" s="21" t="str">
        <f aca="false">IF($L338&lt;&gt;"Planned","",$K338*$D338*$N338*(1+$O338))</f>
        <v/>
      </c>
      <c r="Q338" s="21" t="str">
        <f aca="false">IF($L338&lt;&gt;"Planned","",$K338*$D338)</f>
        <v/>
      </c>
      <c r="R338" s="21" t="str">
        <f aca="false">IF($L338&lt;&gt;"Planned","",MAX(N($E338),$K338*$D338*$N338,$K338*N($G338)))</f>
        <v/>
      </c>
      <c r="S338" s="21" t="str">
        <f aca="false">IF($L338&lt;&gt;"Planned","",$P338)</f>
        <v/>
      </c>
      <c r="T338" s="21" t="str">
        <f aca="false">IF($L338&lt;&gt;"Planned","",$P338+$Q338)</f>
        <v/>
      </c>
      <c r="U338" s="21" t="str">
        <f aca="false">IF($L338&lt;&gt;"Planned","",$T338+$R338)</f>
        <v/>
      </c>
      <c r="V338" s="8" t="str">
        <f aca="false">IF($A338="","",SUMIFS('Open supply'!$C:$C,'Open supply'!$A:$A,$AF338))</f>
        <v/>
      </c>
      <c r="W338" s="8" t="str">
        <f aca="false">IF($A338="","",SUMIFS('Open supply'!$C:$C,'Open supply'!$A:$A,$AF338,'Open supply'!$B:$B,"&lt;"&amp;PlanDate))</f>
        <v/>
      </c>
      <c r="X338" s="8" t="str">
        <f aca="false">IF($A338="","",SUMIFS('Open demand'!$G:$G,'Open demand'!$A:$A,$AF338))</f>
        <v/>
      </c>
      <c r="Y338" s="8" t="str">
        <f aca="false">IF($L338&lt;&gt;"Planned","",N($H338)+$V338-$X338)</f>
        <v/>
      </c>
      <c r="Z338" s="19" t="str">
        <f aca="false">IF($L338&lt;&gt;"Planned","",IF($Y338&lt;=$S338,"Red",IF($Y338&lt;=$T338,"Yellow",IF($Y338&lt;=$U338,"Green","Above green"))))</f>
        <v/>
      </c>
      <c r="AA338" s="22" t="str">
        <f aca="false">IF(OR($L338&lt;&gt;"Planned",N($U338)&lt;=0),"",$Y338/$U338)</f>
        <v/>
      </c>
      <c r="AB338" s="8" t="str">
        <f aca="false">IF($L338&lt;&gt;"Planned","",IF($Y338&lt;=$T338,ROUNDUP(MAX($U338-$Y338,N($E338))/IF(N($F338)&gt;0,$F338,1)-0.000000001,0)*IF(N($F338)&gt;0,$F338,1),""))</f>
        <v/>
      </c>
      <c r="AC338" s="23" t="str">
        <f aca="false">IF(N($AB338)&gt;0,PlanDate+ROUNDUP($D338,0),"")</f>
        <v/>
      </c>
      <c r="AD338" s="19" t="str">
        <f aca="false">IF($L338&lt;&gt;"Planned","",IF(N($H338)&lt;=0,"Stockout",IF(N($H338)&lt;$S338*0.5,"Critical",IF(N($H338)&lt;=$S338,"Low",IF(N($H338)&gt;$U338,"Over top of green","OK")))))</f>
        <v/>
      </c>
      <c r="AE338" s="8" t="str">
        <f aca="false">IF($A338="","",$A338&amp;"")</f>
        <v/>
      </c>
      <c r="AF338" s="8" t="str">
        <f aca="false">IF($A338="","",SUBSTITUTE(SUBSTITUTE(SUBSTITUTE($A338&amp;"","~","~~"),"*","~*"),"?","~?"))</f>
        <v/>
      </c>
    </row>
    <row r="339" customFormat="false" ht="15" hidden="false" customHeight="false" outlineLevel="0" collapsed="false">
      <c r="A339" s="11"/>
      <c r="B339" s="11"/>
      <c r="C339" s="11"/>
      <c r="D339" s="16"/>
      <c r="E339" s="11"/>
      <c r="F339" s="11"/>
      <c r="G339" s="9"/>
      <c r="H339" s="11"/>
      <c r="I339" s="17"/>
      <c r="J339" s="18" t="str">
        <f aca="false">IF($A339="","",IF(COUNT(Usage!$C:$C)=0,"",MAX(0,SUMIFS(Usage!$C:$C,Usage!$A:$A,$AF339,Usage!$B:$B,"&gt;="&amp;(PlanDate-AduWindow),Usage!$B:$B,"&lt;"&amp;PlanDate))/AduWindow))</f>
        <v/>
      </c>
      <c r="K339" s="18" t="str">
        <f aca="false">IF($A339="","",IF(AND(ISNUMBER($I339),N($I339)&gt;=0),$I339,$J339))</f>
        <v/>
      </c>
      <c r="L339" s="19" t="str">
        <f aca="false">IF($A339="","",IF($K339="","Needs ADU",IF($K339&lt;=0,"No recent demand",IF(N($D339)&lt;=0,"Needs lead time","Planned"))))</f>
        <v/>
      </c>
      <c r="M339" s="8" t="str">
        <f aca="false">IF($A339="","",IF(ISNUMBER(MATCH($C339,Profiles!$A$2:$A$100,0)),$C339,DefaultProfile))</f>
        <v/>
      </c>
      <c r="N339" s="20" t="str">
        <f aca="false">IF($A339="","",INDEX(Profiles!$D$2:$D$100,MATCH($M339,Profiles!$A$2:$A$100,0)))</f>
        <v/>
      </c>
      <c r="O339" s="20" t="str">
        <f aca="false">IF($A339="","",INDEX(Profiles!$E$2:$E$100,MATCH($M339,Profiles!$A$2:$A$100,0)))</f>
        <v/>
      </c>
      <c r="P339" s="21" t="str">
        <f aca="false">IF($L339&lt;&gt;"Planned","",$K339*$D339*$N339*(1+$O339))</f>
        <v/>
      </c>
      <c r="Q339" s="21" t="str">
        <f aca="false">IF($L339&lt;&gt;"Planned","",$K339*$D339)</f>
        <v/>
      </c>
      <c r="R339" s="21" t="str">
        <f aca="false">IF($L339&lt;&gt;"Planned","",MAX(N($E339),$K339*$D339*$N339,$K339*N($G339)))</f>
        <v/>
      </c>
      <c r="S339" s="21" t="str">
        <f aca="false">IF($L339&lt;&gt;"Planned","",$P339)</f>
        <v/>
      </c>
      <c r="T339" s="21" t="str">
        <f aca="false">IF($L339&lt;&gt;"Planned","",$P339+$Q339)</f>
        <v/>
      </c>
      <c r="U339" s="21" t="str">
        <f aca="false">IF($L339&lt;&gt;"Planned","",$T339+$R339)</f>
        <v/>
      </c>
      <c r="V339" s="8" t="str">
        <f aca="false">IF($A339="","",SUMIFS('Open supply'!$C:$C,'Open supply'!$A:$A,$AF339))</f>
        <v/>
      </c>
      <c r="W339" s="8" t="str">
        <f aca="false">IF($A339="","",SUMIFS('Open supply'!$C:$C,'Open supply'!$A:$A,$AF339,'Open supply'!$B:$B,"&lt;"&amp;PlanDate))</f>
        <v/>
      </c>
      <c r="X339" s="8" t="str">
        <f aca="false">IF($A339="","",SUMIFS('Open demand'!$G:$G,'Open demand'!$A:$A,$AF339))</f>
        <v/>
      </c>
      <c r="Y339" s="8" t="str">
        <f aca="false">IF($L339&lt;&gt;"Planned","",N($H339)+$V339-$X339)</f>
        <v/>
      </c>
      <c r="Z339" s="19" t="str">
        <f aca="false">IF($L339&lt;&gt;"Planned","",IF($Y339&lt;=$S339,"Red",IF($Y339&lt;=$T339,"Yellow",IF($Y339&lt;=$U339,"Green","Above green"))))</f>
        <v/>
      </c>
      <c r="AA339" s="22" t="str">
        <f aca="false">IF(OR($L339&lt;&gt;"Planned",N($U339)&lt;=0),"",$Y339/$U339)</f>
        <v/>
      </c>
      <c r="AB339" s="8" t="str">
        <f aca="false">IF($L339&lt;&gt;"Planned","",IF($Y339&lt;=$T339,ROUNDUP(MAX($U339-$Y339,N($E339))/IF(N($F339)&gt;0,$F339,1)-0.000000001,0)*IF(N($F339)&gt;0,$F339,1),""))</f>
        <v/>
      </c>
      <c r="AC339" s="23" t="str">
        <f aca="false">IF(N($AB339)&gt;0,PlanDate+ROUNDUP($D339,0),"")</f>
        <v/>
      </c>
      <c r="AD339" s="19" t="str">
        <f aca="false">IF($L339&lt;&gt;"Planned","",IF(N($H339)&lt;=0,"Stockout",IF(N($H339)&lt;$S339*0.5,"Critical",IF(N($H339)&lt;=$S339,"Low",IF(N($H339)&gt;$U339,"Over top of green","OK")))))</f>
        <v/>
      </c>
      <c r="AE339" s="8" t="str">
        <f aca="false">IF($A339="","",$A339&amp;"")</f>
        <v/>
      </c>
      <c r="AF339" s="8" t="str">
        <f aca="false">IF($A339="","",SUBSTITUTE(SUBSTITUTE(SUBSTITUTE($A339&amp;"","~","~~"),"*","~*"),"?","~?"))</f>
        <v/>
      </c>
    </row>
    <row r="340" customFormat="false" ht="15" hidden="false" customHeight="false" outlineLevel="0" collapsed="false">
      <c r="A340" s="11"/>
      <c r="B340" s="11"/>
      <c r="C340" s="11"/>
      <c r="D340" s="16"/>
      <c r="E340" s="11"/>
      <c r="F340" s="11"/>
      <c r="G340" s="9"/>
      <c r="H340" s="11"/>
      <c r="I340" s="17"/>
      <c r="J340" s="18" t="str">
        <f aca="false">IF($A340="","",IF(COUNT(Usage!$C:$C)=0,"",MAX(0,SUMIFS(Usage!$C:$C,Usage!$A:$A,$AF340,Usage!$B:$B,"&gt;="&amp;(PlanDate-AduWindow),Usage!$B:$B,"&lt;"&amp;PlanDate))/AduWindow))</f>
        <v/>
      </c>
      <c r="K340" s="18" t="str">
        <f aca="false">IF($A340="","",IF(AND(ISNUMBER($I340),N($I340)&gt;=0),$I340,$J340))</f>
        <v/>
      </c>
      <c r="L340" s="19" t="str">
        <f aca="false">IF($A340="","",IF($K340="","Needs ADU",IF($K340&lt;=0,"No recent demand",IF(N($D340)&lt;=0,"Needs lead time","Planned"))))</f>
        <v/>
      </c>
      <c r="M340" s="8" t="str">
        <f aca="false">IF($A340="","",IF(ISNUMBER(MATCH($C340,Profiles!$A$2:$A$100,0)),$C340,DefaultProfile))</f>
        <v/>
      </c>
      <c r="N340" s="20" t="str">
        <f aca="false">IF($A340="","",INDEX(Profiles!$D$2:$D$100,MATCH($M340,Profiles!$A$2:$A$100,0)))</f>
        <v/>
      </c>
      <c r="O340" s="20" t="str">
        <f aca="false">IF($A340="","",INDEX(Profiles!$E$2:$E$100,MATCH($M340,Profiles!$A$2:$A$100,0)))</f>
        <v/>
      </c>
      <c r="P340" s="21" t="str">
        <f aca="false">IF($L340&lt;&gt;"Planned","",$K340*$D340*$N340*(1+$O340))</f>
        <v/>
      </c>
      <c r="Q340" s="21" t="str">
        <f aca="false">IF($L340&lt;&gt;"Planned","",$K340*$D340)</f>
        <v/>
      </c>
      <c r="R340" s="21" t="str">
        <f aca="false">IF($L340&lt;&gt;"Planned","",MAX(N($E340),$K340*$D340*$N340,$K340*N($G340)))</f>
        <v/>
      </c>
      <c r="S340" s="21" t="str">
        <f aca="false">IF($L340&lt;&gt;"Planned","",$P340)</f>
        <v/>
      </c>
      <c r="T340" s="21" t="str">
        <f aca="false">IF($L340&lt;&gt;"Planned","",$P340+$Q340)</f>
        <v/>
      </c>
      <c r="U340" s="21" t="str">
        <f aca="false">IF($L340&lt;&gt;"Planned","",$T340+$R340)</f>
        <v/>
      </c>
      <c r="V340" s="8" t="str">
        <f aca="false">IF($A340="","",SUMIFS('Open supply'!$C:$C,'Open supply'!$A:$A,$AF340))</f>
        <v/>
      </c>
      <c r="W340" s="8" t="str">
        <f aca="false">IF($A340="","",SUMIFS('Open supply'!$C:$C,'Open supply'!$A:$A,$AF340,'Open supply'!$B:$B,"&lt;"&amp;PlanDate))</f>
        <v/>
      </c>
      <c r="X340" s="8" t="str">
        <f aca="false">IF($A340="","",SUMIFS('Open demand'!$G:$G,'Open demand'!$A:$A,$AF340))</f>
        <v/>
      </c>
      <c r="Y340" s="8" t="str">
        <f aca="false">IF($L340&lt;&gt;"Planned","",N($H340)+$V340-$X340)</f>
        <v/>
      </c>
      <c r="Z340" s="19" t="str">
        <f aca="false">IF($L340&lt;&gt;"Planned","",IF($Y340&lt;=$S340,"Red",IF($Y340&lt;=$T340,"Yellow",IF($Y340&lt;=$U340,"Green","Above green"))))</f>
        <v/>
      </c>
      <c r="AA340" s="22" t="str">
        <f aca="false">IF(OR($L340&lt;&gt;"Planned",N($U340)&lt;=0),"",$Y340/$U340)</f>
        <v/>
      </c>
      <c r="AB340" s="8" t="str">
        <f aca="false">IF($L340&lt;&gt;"Planned","",IF($Y340&lt;=$T340,ROUNDUP(MAX($U340-$Y340,N($E340))/IF(N($F340)&gt;0,$F340,1)-0.000000001,0)*IF(N($F340)&gt;0,$F340,1),""))</f>
        <v/>
      </c>
      <c r="AC340" s="23" t="str">
        <f aca="false">IF(N($AB340)&gt;0,PlanDate+ROUNDUP($D340,0),"")</f>
        <v/>
      </c>
      <c r="AD340" s="19" t="str">
        <f aca="false">IF($L340&lt;&gt;"Planned","",IF(N($H340)&lt;=0,"Stockout",IF(N($H340)&lt;$S340*0.5,"Critical",IF(N($H340)&lt;=$S340,"Low",IF(N($H340)&gt;$U340,"Over top of green","OK")))))</f>
        <v/>
      </c>
      <c r="AE340" s="8" t="str">
        <f aca="false">IF($A340="","",$A340&amp;"")</f>
        <v/>
      </c>
      <c r="AF340" s="8" t="str">
        <f aca="false">IF($A340="","",SUBSTITUTE(SUBSTITUTE(SUBSTITUTE($A340&amp;"","~","~~"),"*","~*"),"?","~?"))</f>
        <v/>
      </c>
    </row>
    <row r="341" customFormat="false" ht="15" hidden="false" customHeight="false" outlineLevel="0" collapsed="false">
      <c r="A341" s="11"/>
      <c r="B341" s="11"/>
      <c r="C341" s="11"/>
      <c r="D341" s="16"/>
      <c r="E341" s="11"/>
      <c r="F341" s="11"/>
      <c r="G341" s="9"/>
      <c r="H341" s="11"/>
      <c r="I341" s="17"/>
      <c r="J341" s="18" t="str">
        <f aca="false">IF($A341="","",IF(COUNT(Usage!$C:$C)=0,"",MAX(0,SUMIFS(Usage!$C:$C,Usage!$A:$A,$AF341,Usage!$B:$B,"&gt;="&amp;(PlanDate-AduWindow),Usage!$B:$B,"&lt;"&amp;PlanDate))/AduWindow))</f>
        <v/>
      </c>
      <c r="K341" s="18" t="str">
        <f aca="false">IF($A341="","",IF(AND(ISNUMBER($I341),N($I341)&gt;=0),$I341,$J341))</f>
        <v/>
      </c>
      <c r="L341" s="19" t="str">
        <f aca="false">IF($A341="","",IF($K341="","Needs ADU",IF($K341&lt;=0,"No recent demand",IF(N($D341)&lt;=0,"Needs lead time","Planned"))))</f>
        <v/>
      </c>
      <c r="M341" s="8" t="str">
        <f aca="false">IF($A341="","",IF(ISNUMBER(MATCH($C341,Profiles!$A$2:$A$100,0)),$C341,DefaultProfile))</f>
        <v/>
      </c>
      <c r="N341" s="20" t="str">
        <f aca="false">IF($A341="","",INDEX(Profiles!$D$2:$D$100,MATCH($M341,Profiles!$A$2:$A$100,0)))</f>
        <v/>
      </c>
      <c r="O341" s="20" t="str">
        <f aca="false">IF($A341="","",INDEX(Profiles!$E$2:$E$100,MATCH($M341,Profiles!$A$2:$A$100,0)))</f>
        <v/>
      </c>
      <c r="P341" s="21" t="str">
        <f aca="false">IF($L341&lt;&gt;"Planned","",$K341*$D341*$N341*(1+$O341))</f>
        <v/>
      </c>
      <c r="Q341" s="21" t="str">
        <f aca="false">IF($L341&lt;&gt;"Planned","",$K341*$D341)</f>
        <v/>
      </c>
      <c r="R341" s="21" t="str">
        <f aca="false">IF($L341&lt;&gt;"Planned","",MAX(N($E341),$K341*$D341*$N341,$K341*N($G341)))</f>
        <v/>
      </c>
      <c r="S341" s="21" t="str">
        <f aca="false">IF($L341&lt;&gt;"Planned","",$P341)</f>
        <v/>
      </c>
      <c r="T341" s="21" t="str">
        <f aca="false">IF($L341&lt;&gt;"Planned","",$P341+$Q341)</f>
        <v/>
      </c>
      <c r="U341" s="21" t="str">
        <f aca="false">IF($L341&lt;&gt;"Planned","",$T341+$R341)</f>
        <v/>
      </c>
      <c r="V341" s="8" t="str">
        <f aca="false">IF($A341="","",SUMIFS('Open supply'!$C:$C,'Open supply'!$A:$A,$AF341))</f>
        <v/>
      </c>
      <c r="W341" s="8" t="str">
        <f aca="false">IF($A341="","",SUMIFS('Open supply'!$C:$C,'Open supply'!$A:$A,$AF341,'Open supply'!$B:$B,"&lt;"&amp;PlanDate))</f>
        <v/>
      </c>
      <c r="X341" s="8" t="str">
        <f aca="false">IF($A341="","",SUMIFS('Open demand'!$G:$G,'Open demand'!$A:$A,$AF341))</f>
        <v/>
      </c>
      <c r="Y341" s="8" t="str">
        <f aca="false">IF($L341&lt;&gt;"Planned","",N($H341)+$V341-$X341)</f>
        <v/>
      </c>
      <c r="Z341" s="19" t="str">
        <f aca="false">IF($L341&lt;&gt;"Planned","",IF($Y341&lt;=$S341,"Red",IF($Y341&lt;=$T341,"Yellow",IF($Y341&lt;=$U341,"Green","Above green"))))</f>
        <v/>
      </c>
      <c r="AA341" s="22" t="str">
        <f aca="false">IF(OR($L341&lt;&gt;"Planned",N($U341)&lt;=0),"",$Y341/$U341)</f>
        <v/>
      </c>
      <c r="AB341" s="8" t="str">
        <f aca="false">IF($L341&lt;&gt;"Planned","",IF($Y341&lt;=$T341,ROUNDUP(MAX($U341-$Y341,N($E341))/IF(N($F341)&gt;0,$F341,1)-0.000000001,0)*IF(N($F341)&gt;0,$F341,1),""))</f>
        <v/>
      </c>
      <c r="AC341" s="23" t="str">
        <f aca="false">IF(N($AB341)&gt;0,PlanDate+ROUNDUP($D341,0),"")</f>
        <v/>
      </c>
      <c r="AD341" s="19" t="str">
        <f aca="false">IF($L341&lt;&gt;"Planned","",IF(N($H341)&lt;=0,"Stockout",IF(N($H341)&lt;$S341*0.5,"Critical",IF(N($H341)&lt;=$S341,"Low",IF(N($H341)&gt;$U341,"Over top of green","OK")))))</f>
        <v/>
      </c>
      <c r="AE341" s="8" t="str">
        <f aca="false">IF($A341="","",$A341&amp;"")</f>
        <v/>
      </c>
      <c r="AF341" s="8" t="str">
        <f aca="false">IF($A341="","",SUBSTITUTE(SUBSTITUTE(SUBSTITUTE($A341&amp;"","~","~~"),"*","~*"),"?","~?"))</f>
        <v/>
      </c>
    </row>
    <row r="342" customFormat="false" ht="15" hidden="false" customHeight="false" outlineLevel="0" collapsed="false">
      <c r="A342" s="11"/>
      <c r="B342" s="11"/>
      <c r="C342" s="11"/>
      <c r="D342" s="16"/>
      <c r="E342" s="11"/>
      <c r="F342" s="11"/>
      <c r="G342" s="9"/>
      <c r="H342" s="11"/>
      <c r="I342" s="17"/>
      <c r="J342" s="18" t="str">
        <f aca="false">IF($A342="","",IF(COUNT(Usage!$C:$C)=0,"",MAX(0,SUMIFS(Usage!$C:$C,Usage!$A:$A,$AF342,Usage!$B:$B,"&gt;="&amp;(PlanDate-AduWindow),Usage!$B:$B,"&lt;"&amp;PlanDate))/AduWindow))</f>
        <v/>
      </c>
      <c r="K342" s="18" t="str">
        <f aca="false">IF($A342="","",IF(AND(ISNUMBER($I342),N($I342)&gt;=0),$I342,$J342))</f>
        <v/>
      </c>
      <c r="L342" s="19" t="str">
        <f aca="false">IF($A342="","",IF($K342="","Needs ADU",IF($K342&lt;=0,"No recent demand",IF(N($D342)&lt;=0,"Needs lead time","Planned"))))</f>
        <v/>
      </c>
      <c r="M342" s="8" t="str">
        <f aca="false">IF($A342="","",IF(ISNUMBER(MATCH($C342,Profiles!$A$2:$A$100,0)),$C342,DefaultProfile))</f>
        <v/>
      </c>
      <c r="N342" s="20" t="str">
        <f aca="false">IF($A342="","",INDEX(Profiles!$D$2:$D$100,MATCH($M342,Profiles!$A$2:$A$100,0)))</f>
        <v/>
      </c>
      <c r="O342" s="20" t="str">
        <f aca="false">IF($A342="","",INDEX(Profiles!$E$2:$E$100,MATCH($M342,Profiles!$A$2:$A$100,0)))</f>
        <v/>
      </c>
      <c r="P342" s="21" t="str">
        <f aca="false">IF($L342&lt;&gt;"Planned","",$K342*$D342*$N342*(1+$O342))</f>
        <v/>
      </c>
      <c r="Q342" s="21" t="str">
        <f aca="false">IF($L342&lt;&gt;"Planned","",$K342*$D342)</f>
        <v/>
      </c>
      <c r="R342" s="21" t="str">
        <f aca="false">IF($L342&lt;&gt;"Planned","",MAX(N($E342),$K342*$D342*$N342,$K342*N($G342)))</f>
        <v/>
      </c>
      <c r="S342" s="21" t="str">
        <f aca="false">IF($L342&lt;&gt;"Planned","",$P342)</f>
        <v/>
      </c>
      <c r="T342" s="21" t="str">
        <f aca="false">IF($L342&lt;&gt;"Planned","",$P342+$Q342)</f>
        <v/>
      </c>
      <c r="U342" s="21" t="str">
        <f aca="false">IF($L342&lt;&gt;"Planned","",$T342+$R342)</f>
        <v/>
      </c>
      <c r="V342" s="8" t="str">
        <f aca="false">IF($A342="","",SUMIFS('Open supply'!$C:$C,'Open supply'!$A:$A,$AF342))</f>
        <v/>
      </c>
      <c r="W342" s="8" t="str">
        <f aca="false">IF($A342="","",SUMIFS('Open supply'!$C:$C,'Open supply'!$A:$A,$AF342,'Open supply'!$B:$B,"&lt;"&amp;PlanDate))</f>
        <v/>
      </c>
      <c r="X342" s="8" t="str">
        <f aca="false">IF($A342="","",SUMIFS('Open demand'!$G:$G,'Open demand'!$A:$A,$AF342))</f>
        <v/>
      </c>
      <c r="Y342" s="8" t="str">
        <f aca="false">IF($L342&lt;&gt;"Planned","",N($H342)+$V342-$X342)</f>
        <v/>
      </c>
      <c r="Z342" s="19" t="str">
        <f aca="false">IF($L342&lt;&gt;"Planned","",IF($Y342&lt;=$S342,"Red",IF($Y342&lt;=$T342,"Yellow",IF($Y342&lt;=$U342,"Green","Above green"))))</f>
        <v/>
      </c>
      <c r="AA342" s="22" t="str">
        <f aca="false">IF(OR($L342&lt;&gt;"Planned",N($U342)&lt;=0),"",$Y342/$U342)</f>
        <v/>
      </c>
      <c r="AB342" s="8" t="str">
        <f aca="false">IF($L342&lt;&gt;"Planned","",IF($Y342&lt;=$T342,ROUNDUP(MAX($U342-$Y342,N($E342))/IF(N($F342)&gt;0,$F342,1)-0.000000001,0)*IF(N($F342)&gt;0,$F342,1),""))</f>
        <v/>
      </c>
      <c r="AC342" s="23" t="str">
        <f aca="false">IF(N($AB342)&gt;0,PlanDate+ROUNDUP($D342,0),"")</f>
        <v/>
      </c>
      <c r="AD342" s="19" t="str">
        <f aca="false">IF($L342&lt;&gt;"Planned","",IF(N($H342)&lt;=0,"Stockout",IF(N($H342)&lt;$S342*0.5,"Critical",IF(N($H342)&lt;=$S342,"Low",IF(N($H342)&gt;$U342,"Over top of green","OK")))))</f>
        <v/>
      </c>
      <c r="AE342" s="8" t="str">
        <f aca="false">IF($A342="","",$A342&amp;"")</f>
        <v/>
      </c>
      <c r="AF342" s="8" t="str">
        <f aca="false">IF($A342="","",SUBSTITUTE(SUBSTITUTE(SUBSTITUTE($A342&amp;"","~","~~"),"*","~*"),"?","~?"))</f>
        <v/>
      </c>
    </row>
    <row r="343" customFormat="false" ht="15" hidden="false" customHeight="false" outlineLevel="0" collapsed="false">
      <c r="A343" s="11"/>
      <c r="B343" s="11"/>
      <c r="C343" s="11"/>
      <c r="D343" s="16"/>
      <c r="E343" s="11"/>
      <c r="F343" s="11"/>
      <c r="G343" s="9"/>
      <c r="H343" s="11"/>
      <c r="I343" s="17"/>
      <c r="J343" s="18" t="str">
        <f aca="false">IF($A343="","",IF(COUNT(Usage!$C:$C)=0,"",MAX(0,SUMIFS(Usage!$C:$C,Usage!$A:$A,$AF343,Usage!$B:$B,"&gt;="&amp;(PlanDate-AduWindow),Usage!$B:$B,"&lt;"&amp;PlanDate))/AduWindow))</f>
        <v/>
      </c>
      <c r="K343" s="18" t="str">
        <f aca="false">IF($A343="","",IF(AND(ISNUMBER($I343),N($I343)&gt;=0),$I343,$J343))</f>
        <v/>
      </c>
      <c r="L343" s="19" t="str">
        <f aca="false">IF($A343="","",IF($K343="","Needs ADU",IF($K343&lt;=0,"No recent demand",IF(N($D343)&lt;=0,"Needs lead time","Planned"))))</f>
        <v/>
      </c>
      <c r="M343" s="8" t="str">
        <f aca="false">IF($A343="","",IF(ISNUMBER(MATCH($C343,Profiles!$A$2:$A$100,0)),$C343,DefaultProfile))</f>
        <v/>
      </c>
      <c r="N343" s="20" t="str">
        <f aca="false">IF($A343="","",INDEX(Profiles!$D$2:$D$100,MATCH($M343,Profiles!$A$2:$A$100,0)))</f>
        <v/>
      </c>
      <c r="O343" s="20" t="str">
        <f aca="false">IF($A343="","",INDEX(Profiles!$E$2:$E$100,MATCH($M343,Profiles!$A$2:$A$100,0)))</f>
        <v/>
      </c>
      <c r="P343" s="21" t="str">
        <f aca="false">IF($L343&lt;&gt;"Planned","",$K343*$D343*$N343*(1+$O343))</f>
        <v/>
      </c>
      <c r="Q343" s="21" t="str">
        <f aca="false">IF($L343&lt;&gt;"Planned","",$K343*$D343)</f>
        <v/>
      </c>
      <c r="R343" s="21" t="str">
        <f aca="false">IF($L343&lt;&gt;"Planned","",MAX(N($E343),$K343*$D343*$N343,$K343*N($G343)))</f>
        <v/>
      </c>
      <c r="S343" s="21" t="str">
        <f aca="false">IF($L343&lt;&gt;"Planned","",$P343)</f>
        <v/>
      </c>
      <c r="T343" s="21" t="str">
        <f aca="false">IF($L343&lt;&gt;"Planned","",$P343+$Q343)</f>
        <v/>
      </c>
      <c r="U343" s="21" t="str">
        <f aca="false">IF($L343&lt;&gt;"Planned","",$T343+$R343)</f>
        <v/>
      </c>
      <c r="V343" s="8" t="str">
        <f aca="false">IF($A343="","",SUMIFS('Open supply'!$C:$C,'Open supply'!$A:$A,$AF343))</f>
        <v/>
      </c>
      <c r="W343" s="8" t="str">
        <f aca="false">IF($A343="","",SUMIFS('Open supply'!$C:$C,'Open supply'!$A:$A,$AF343,'Open supply'!$B:$B,"&lt;"&amp;PlanDate))</f>
        <v/>
      </c>
      <c r="X343" s="8" t="str">
        <f aca="false">IF($A343="","",SUMIFS('Open demand'!$G:$G,'Open demand'!$A:$A,$AF343))</f>
        <v/>
      </c>
      <c r="Y343" s="8" t="str">
        <f aca="false">IF($L343&lt;&gt;"Planned","",N($H343)+$V343-$X343)</f>
        <v/>
      </c>
      <c r="Z343" s="19" t="str">
        <f aca="false">IF($L343&lt;&gt;"Planned","",IF($Y343&lt;=$S343,"Red",IF($Y343&lt;=$T343,"Yellow",IF($Y343&lt;=$U343,"Green","Above green"))))</f>
        <v/>
      </c>
      <c r="AA343" s="22" t="str">
        <f aca="false">IF(OR($L343&lt;&gt;"Planned",N($U343)&lt;=0),"",$Y343/$U343)</f>
        <v/>
      </c>
      <c r="AB343" s="8" t="str">
        <f aca="false">IF($L343&lt;&gt;"Planned","",IF($Y343&lt;=$T343,ROUNDUP(MAX($U343-$Y343,N($E343))/IF(N($F343)&gt;0,$F343,1)-0.000000001,0)*IF(N($F343)&gt;0,$F343,1),""))</f>
        <v/>
      </c>
      <c r="AC343" s="23" t="str">
        <f aca="false">IF(N($AB343)&gt;0,PlanDate+ROUNDUP($D343,0),"")</f>
        <v/>
      </c>
      <c r="AD343" s="19" t="str">
        <f aca="false">IF($L343&lt;&gt;"Planned","",IF(N($H343)&lt;=0,"Stockout",IF(N($H343)&lt;$S343*0.5,"Critical",IF(N($H343)&lt;=$S343,"Low",IF(N($H343)&gt;$U343,"Over top of green","OK")))))</f>
        <v/>
      </c>
      <c r="AE343" s="8" t="str">
        <f aca="false">IF($A343="","",$A343&amp;"")</f>
        <v/>
      </c>
      <c r="AF343" s="8" t="str">
        <f aca="false">IF($A343="","",SUBSTITUTE(SUBSTITUTE(SUBSTITUTE($A343&amp;"","~","~~"),"*","~*"),"?","~?"))</f>
        <v/>
      </c>
    </row>
    <row r="344" customFormat="false" ht="15" hidden="false" customHeight="false" outlineLevel="0" collapsed="false">
      <c r="A344" s="11"/>
      <c r="B344" s="11"/>
      <c r="C344" s="11"/>
      <c r="D344" s="16"/>
      <c r="E344" s="11"/>
      <c r="F344" s="11"/>
      <c r="G344" s="9"/>
      <c r="H344" s="11"/>
      <c r="I344" s="17"/>
      <c r="J344" s="18" t="str">
        <f aca="false">IF($A344="","",IF(COUNT(Usage!$C:$C)=0,"",MAX(0,SUMIFS(Usage!$C:$C,Usage!$A:$A,$AF344,Usage!$B:$B,"&gt;="&amp;(PlanDate-AduWindow),Usage!$B:$B,"&lt;"&amp;PlanDate))/AduWindow))</f>
        <v/>
      </c>
      <c r="K344" s="18" t="str">
        <f aca="false">IF($A344="","",IF(AND(ISNUMBER($I344),N($I344)&gt;=0),$I344,$J344))</f>
        <v/>
      </c>
      <c r="L344" s="19" t="str">
        <f aca="false">IF($A344="","",IF($K344="","Needs ADU",IF($K344&lt;=0,"No recent demand",IF(N($D344)&lt;=0,"Needs lead time","Planned"))))</f>
        <v/>
      </c>
      <c r="M344" s="8" t="str">
        <f aca="false">IF($A344="","",IF(ISNUMBER(MATCH($C344,Profiles!$A$2:$A$100,0)),$C344,DefaultProfile))</f>
        <v/>
      </c>
      <c r="N344" s="20" t="str">
        <f aca="false">IF($A344="","",INDEX(Profiles!$D$2:$D$100,MATCH($M344,Profiles!$A$2:$A$100,0)))</f>
        <v/>
      </c>
      <c r="O344" s="20" t="str">
        <f aca="false">IF($A344="","",INDEX(Profiles!$E$2:$E$100,MATCH($M344,Profiles!$A$2:$A$100,0)))</f>
        <v/>
      </c>
      <c r="P344" s="21" t="str">
        <f aca="false">IF($L344&lt;&gt;"Planned","",$K344*$D344*$N344*(1+$O344))</f>
        <v/>
      </c>
      <c r="Q344" s="21" t="str">
        <f aca="false">IF($L344&lt;&gt;"Planned","",$K344*$D344)</f>
        <v/>
      </c>
      <c r="R344" s="21" t="str">
        <f aca="false">IF($L344&lt;&gt;"Planned","",MAX(N($E344),$K344*$D344*$N344,$K344*N($G344)))</f>
        <v/>
      </c>
      <c r="S344" s="21" t="str">
        <f aca="false">IF($L344&lt;&gt;"Planned","",$P344)</f>
        <v/>
      </c>
      <c r="T344" s="21" t="str">
        <f aca="false">IF($L344&lt;&gt;"Planned","",$P344+$Q344)</f>
        <v/>
      </c>
      <c r="U344" s="21" t="str">
        <f aca="false">IF($L344&lt;&gt;"Planned","",$T344+$R344)</f>
        <v/>
      </c>
      <c r="V344" s="8" t="str">
        <f aca="false">IF($A344="","",SUMIFS('Open supply'!$C:$C,'Open supply'!$A:$A,$AF344))</f>
        <v/>
      </c>
      <c r="W344" s="8" t="str">
        <f aca="false">IF($A344="","",SUMIFS('Open supply'!$C:$C,'Open supply'!$A:$A,$AF344,'Open supply'!$B:$B,"&lt;"&amp;PlanDate))</f>
        <v/>
      </c>
      <c r="X344" s="8" t="str">
        <f aca="false">IF($A344="","",SUMIFS('Open demand'!$G:$G,'Open demand'!$A:$A,$AF344))</f>
        <v/>
      </c>
      <c r="Y344" s="8" t="str">
        <f aca="false">IF($L344&lt;&gt;"Planned","",N($H344)+$V344-$X344)</f>
        <v/>
      </c>
      <c r="Z344" s="19" t="str">
        <f aca="false">IF($L344&lt;&gt;"Planned","",IF($Y344&lt;=$S344,"Red",IF($Y344&lt;=$T344,"Yellow",IF($Y344&lt;=$U344,"Green","Above green"))))</f>
        <v/>
      </c>
      <c r="AA344" s="22" t="str">
        <f aca="false">IF(OR($L344&lt;&gt;"Planned",N($U344)&lt;=0),"",$Y344/$U344)</f>
        <v/>
      </c>
      <c r="AB344" s="8" t="str">
        <f aca="false">IF($L344&lt;&gt;"Planned","",IF($Y344&lt;=$T344,ROUNDUP(MAX($U344-$Y344,N($E344))/IF(N($F344)&gt;0,$F344,1)-0.000000001,0)*IF(N($F344)&gt;0,$F344,1),""))</f>
        <v/>
      </c>
      <c r="AC344" s="23" t="str">
        <f aca="false">IF(N($AB344)&gt;0,PlanDate+ROUNDUP($D344,0),"")</f>
        <v/>
      </c>
      <c r="AD344" s="19" t="str">
        <f aca="false">IF($L344&lt;&gt;"Planned","",IF(N($H344)&lt;=0,"Stockout",IF(N($H344)&lt;$S344*0.5,"Critical",IF(N($H344)&lt;=$S344,"Low",IF(N($H344)&gt;$U344,"Over top of green","OK")))))</f>
        <v/>
      </c>
      <c r="AE344" s="8" t="str">
        <f aca="false">IF($A344="","",$A344&amp;"")</f>
        <v/>
      </c>
      <c r="AF344" s="8" t="str">
        <f aca="false">IF($A344="","",SUBSTITUTE(SUBSTITUTE(SUBSTITUTE($A344&amp;"","~","~~"),"*","~*"),"?","~?"))</f>
        <v/>
      </c>
    </row>
    <row r="345" customFormat="false" ht="15" hidden="false" customHeight="false" outlineLevel="0" collapsed="false">
      <c r="A345" s="11"/>
      <c r="B345" s="11"/>
      <c r="C345" s="11"/>
      <c r="D345" s="16"/>
      <c r="E345" s="11"/>
      <c r="F345" s="11"/>
      <c r="G345" s="9"/>
      <c r="H345" s="11"/>
      <c r="I345" s="17"/>
      <c r="J345" s="18" t="str">
        <f aca="false">IF($A345="","",IF(COUNT(Usage!$C:$C)=0,"",MAX(0,SUMIFS(Usage!$C:$C,Usage!$A:$A,$AF345,Usage!$B:$B,"&gt;="&amp;(PlanDate-AduWindow),Usage!$B:$B,"&lt;"&amp;PlanDate))/AduWindow))</f>
        <v/>
      </c>
      <c r="K345" s="18" t="str">
        <f aca="false">IF($A345="","",IF(AND(ISNUMBER($I345),N($I345)&gt;=0),$I345,$J345))</f>
        <v/>
      </c>
      <c r="L345" s="19" t="str">
        <f aca="false">IF($A345="","",IF($K345="","Needs ADU",IF($K345&lt;=0,"No recent demand",IF(N($D345)&lt;=0,"Needs lead time","Planned"))))</f>
        <v/>
      </c>
      <c r="M345" s="8" t="str">
        <f aca="false">IF($A345="","",IF(ISNUMBER(MATCH($C345,Profiles!$A$2:$A$100,0)),$C345,DefaultProfile))</f>
        <v/>
      </c>
      <c r="N345" s="20" t="str">
        <f aca="false">IF($A345="","",INDEX(Profiles!$D$2:$D$100,MATCH($M345,Profiles!$A$2:$A$100,0)))</f>
        <v/>
      </c>
      <c r="O345" s="20" t="str">
        <f aca="false">IF($A345="","",INDEX(Profiles!$E$2:$E$100,MATCH($M345,Profiles!$A$2:$A$100,0)))</f>
        <v/>
      </c>
      <c r="P345" s="21" t="str">
        <f aca="false">IF($L345&lt;&gt;"Planned","",$K345*$D345*$N345*(1+$O345))</f>
        <v/>
      </c>
      <c r="Q345" s="21" t="str">
        <f aca="false">IF($L345&lt;&gt;"Planned","",$K345*$D345)</f>
        <v/>
      </c>
      <c r="R345" s="21" t="str">
        <f aca="false">IF($L345&lt;&gt;"Planned","",MAX(N($E345),$K345*$D345*$N345,$K345*N($G345)))</f>
        <v/>
      </c>
      <c r="S345" s="21" t="str">
        <f aca="false">IF($L345&lt;&gt;"Planned","",$P345)</f>
        <v/>
      </c>
      <c r="T345" s="21" t="str">
        <f aca="false">IF($L345&lt;&gt;"Planned","",$P345+$Q345)</f>
        <v/>
      </c>
      <c r="U345" s="21" t="str">
        <f aca="false">IF($L345&lt;&gt;"Planned","",$T345+$R345)</f>
        <v/>
      </c>
      <c r="V345" s="8" t="str">
        <f aca="false">IF($A345="","",SUMIFS('Open supply'!$C:$C,'Open supply'!$A:$A,$AF345))</f>
        <v/>
      </c>
      <c r="W345" s="8" t="str">
        <f aca="false">IF($A345="","",SUMIFS('Open supply'!$C:$C,'Open supply'!$A:$A,$AF345,'Open supply'!$B:$B,"&lt;"&amp;PlanDate))</f>
        <v/>
      </c>
      <c r="X345" s="8" t="str">
        <f aca="false">IF($A345="","",SUMIFS('Open demand'!$G:$G,'Open demand'!$A:$A,$AF345))</f>
        <v/>
      </c>
      <c r="Y345" s="8" t="str">
        <f aca="false">IF($L345&lt;&gt;"Planned","",N($H345)+$V345-$X345)</f>
        <v/>
      </c>
      <c r="Z345" s="19" t="str">
        <f aca="false">IF($L345&lt;&gt;"Planned","",IF($Y345&lt;=$S345,"Red",IF($Y345&lt;=$T345,"Yellow",IF($Y345&lt;=$U345,"Green","Above green"))))</f>
        <v/>
      </c>
      <c r="AA345" s="22" t="str">
        <f aca="false">IF(OR($L345&lt;&gt;"Planned",N($U345)&lt;=0),"",$Y345/$U345)</f>
        <v/>
      </c>
      <c r="AB345" s="8" t="str">
        <f aca="false">IF($L345&lt;&gt;"Planned","",IF($Y345&lt;=$T345,ROUNDUP(MAX($U345-$Y345,N($E345))/IF(N($F345)&gt;0,$F345,1)-0.000000001,0)*IF(N($F345)&gt;0,$F345,1),""))</f>
        <v/>
      </c>
      <c r="AC345" s="23" t="str">
        <f aca="false">IF(N($AB345)&gt;0,PlanDate+ROUNDUP($D345,0),"")</f>
        <v/>
      </c>
      <c r="AD345" s="19" t="str">
        <f aca="false">IF($L345&lt;&gt;"Planned","",IF(N($H345)&lt;=0,"Stockout",IF(N($H345)&lt;$S345*0.5,"Critical",IF(N($H345)&lt;=$S345,"Low",IF(N($H345)&gt;$U345,"Over top of green","OK")))))</f>
        <v/>
      </c>
      <c r="AE345" s="8" t="str">
        <f aca="false">IF($A345="","",$A345&amp;"")</f>
        <v/>
      </c>
      <c r="AF345" s="8" t="str">
        <f aca="false">IF($A345="","",SUBSTITUTE(SUBSTITUTE(SUBSTITUTE($A345&amp;"","~","~~"),"*","~*"),"?","~?"))</f>
        <v/>
      </c>
    </row>
    <row r="346" customFormat="false" ht="15" hidden="false" customHeight="false" outlineLevel="0" collapsed="false">
      <c r="A346" s="11"/>
      <c r="B346" s="11"/>
      <c r="C346" s="11"/>
      <c r="D346" s="16"/>
      <c r="E346" s="11"/>
      <c r="F346" s="11"/>
      <c r="G346" s="9"/>
      <c r="H346" s="11"/>
      <c r="I346" s="17"/>
      <c r="J346" s="18" t="str">
        <f aca="false">IF($A346="","",IF(COUNT(Usage!$C:$C)=0,"",MAX(0,SUMIFS(Usage!$C:$C,Usage!$A:$A,$AF346,Usage!$B:$B,"&gt;="&amp;(PlanDate-AduWindow),Usage!$B:$B,"&lt;"&amp;PlanDate))/AduWindow))</f>
        <v/>
      </c>
      <c r="K346" s="18" t="str">
        <f aca="false">IF($A346="","",IF(AND(ISNUMBER($I346),N($I346)&gt;=0),$I346,$J346))</f>
        <v/>
      </c>
      <c r="L346" s="19" t="str">
        <f aca="false">IF($A346="","",IF($K346="","Needs ADU",IF($K346&lt;=0,"No recent demand",IF(N($D346)&lt;=0,"Needs lead time","Planned"))))</f>
        <v/>
      </c>
      <c r="M346" s="8" t="str">
        <f aca="false">IF($A346="","",IF(ISNUMBER(MATCH($C346,Profiles!$A$2:$A$100,0)),$C346,DefaultProfile))</f>
        <v/>
      </c>
      <c r="N346" s="20" t="str">
        <f aca="false">IF($A346="","",INDEX(Profiles!$D$2:$D$100,MATCH($M346,Profiles!$A$2:$A$100,0)))</f>
        <v/>
      </c>
      <c r="O346" s="20" t="str">
        <f aca="false">IF($A346="","",INDEX(Profiles!$E$2:$E$100,MATCH($M346,Profiles!$A$2:$A$100,0)))</f>
        <v/>
      </c>
      <c r="P346" s="21" t="str">
        <f aca="false">IF($L346&lt;&gt;"Planned","",$K346*$D346*$N346*(1+$O346))</f>
        <v/>
      </c>
      <c r="Q346" s="21" t="str">
        <f aca="false">IF($L346&lt;&gt;"Planned","",$K346*$D346)</f>
        <v/>
      </c>
      <c r="R346" s="21" t="str">
        <f aca="false">IF($L346&lt;&gt;"Planned","",MAX(N($E346),$K346*$D346*$N346,$K346*N($G346)))</f>
        <v/>
      </c>
      <c r="S346" s="21" t="str">
        <f aca="false">IF($L346&lt;&gt;"Planned","",$P346)</f>
        <v/>
      </c>
      <c r="T346" s="21" t="str">
        <f aca="false">IF($L346&lt;&gt;"Planned","",$P346+$Q346)</f>
        <v/>
      </c>
      <c r="U346" s="21" t="str">
        <f aca="false">IF($L346&lt;&gt;"Planned","",$T346+$R346)</f>
        <v/>
      </c>
      <c r="V346" s="8" t="str">
        <f aca="false">IF($A346="","",SUMIFS('Open supply'!$C:$C,'Open supply'!$A:$A,$AF346))</f>
        <v/>
      </c>
      <c r="W346" s="8" t="str">
        <f aca="false">IF($A346="","",SUMIFS('Open supply'!$C:$C,'Open supply'!$A:$A,$AF346,'Open supply'!$B:$B,"&lt;"&amp;PlanDate))</f>
        <v/>
      </c>
      <c r="X346" s="8" t="str">
        <f aca="false">IF($A346="","",SUMIFS('Open demand'!$G:$G,'Open demand'!$A:$A,$AF346))</f>
        <v/>
      </c>
      <c r="Y346" s="8" t="str">
        <f aca="false">IF($L346&lt;&gt;"Planned","",N($H346)+$V346-$X346)</f>
        <v/>
      </c>
      <c r="Z346" s="19" t="str">
        <f aca="false">IF($L346&lt;&gt;"Planned","",IF($Y346&lt;=$S346,"Red",IF($Y346&lt;=$T346,"Yellow",IF($Y346&lt;=$U346,"Green","Above green"))))</f>
        <v/>
      </c>
      <c r="AA346" s="22" t="str">
        <f aca="false">IF(OR($L346&lt;&gt;"Planned",N($U346)&lt;=0),"",$Y346/$U346)</f>
        <v/>
      </c>
      <c r="AB346" s="8" t="str">
        <f aca="false">IF($L346&lt;&gt;"Planned","",IF($Y346&lt;=$T346,ROUNDUP(MAX($U346-$Y346,N($E346))/IF(N($F346)&gt;0,$F346,1)-0.000000001,0)*IF(N($F346)&gt;0,$F346,1),""))</f>
        <v/>
      </c>
      <c r="AC346" s="23" t="str">
        <f aca="false">IF(N($AB346)&gt;0,PlanDate+ROUNDUP($D346,0),"")</f>
        <v/>
      </c>
      <c r="AD346" s="19" t="str">
        <f aca="false">IF($L346&lt;&gt;"Planned","",IF(N($H346)&lt;=0,"Stockout",IF(N($H346)&lt;$S346*0.5,"Critical",IF(N($H346)&lt;=$S346,"Low",IF(N($H346)&gt;$U346,"Over top of green","OK")))))</f>
        <v/>
      </c>
      <c r="AE346" s="8" t="str">
        <f aca="false">IF($A346="","",$A346&amp;"")</f>
        <v/>
      </c>
      <c r="AF346" s="8" t="str">
        <f aca="false">IF($A346="","",SUBSTITUTE(SUBSTITUTE(SUBSTITUTE($A346&amp;"","~","~~"),"*","~*"),"?","~?"))</f>
        <v/>
      </c>
    </row>
    <row r="347" customFormat="false" ht="15" hidden="false" customHeight="false" outlineLevel="0" collapsed="false">
      <c r="A347" s="11"/>
      <c r="B347" s="11"/>
      <c r="C347" s="11"/>
      <c r="D347" s="16"/>
      <c r="E347" s="11"/>
      <c r="F347" s="11"/>
      <c r="G347" s="9"/>
      <c r="H347" s="11"/>
      <c r="I347" s="17"/>
      <c r="J347" s="18" t="str">
        <f aca="false">IF($A347="","",IF(COUNT(Usage!$C:$C)=0,"",MAX(0,SUMIFS(Usage!$C:$C,Usage!$A:$A,$AF347,Usage!$B:$B,"&gt;="&amp;(PlanDate-AduWindow),Usage!$B:$B,"&lt;"&amp;PlanDate))/AduWindow))</f>
        <v/>
      </c>
      <c r="K347" s="18" t="str">
        <f aca="false">IF($A347="","",IF(AND(ISNUMBER($I347),N($I347)&gt;=0),$I347,$J347))</f>
        <v/>
      </c>
      <c r="L347" s="19" t="str">
        <f aca="false">IF($A347="","",IF($K347="","Needs ADU",IF($K347&lt;=0,"No recent demand",IF(N($D347)&lt;=0,"Needs lead time","Planned"))))</f>
        <v/>
      </c>
      <c r="M347" s="8" t="str">
        <f aca="false">IF($A347="","",IF(ISNUMBER(MATCH($C347,Profiles!$A$2:$A$100,0)),$C347,DefaultProfile))</f>
        <v/>
      </c>
      <c r="N347" s="20" t="str">
        <f aca="false">IF($A347="","",INDEX(Profiles!$D$2:$D$100,MATCH($M347,Profiles!$A$2:$A$100,0)))</f>
        <v/>
      </c>
      <c r="O347" s="20" t="str">
        <f aca="false">IF($A347="","",INDEX(Profiles!$E$2:$E$100,MATCH($M347,Profiles!$A$2:$A$100,0)))</f>
        <v/>
      </c>
      <c r="P347" s="21" t="str">
        <f aca="false">IF($L347&lt;&gt;"Planned","",$K347*$D347*$N347*(1+$O347))</f>
        <v/>
      </c>
      <c r="Q347" s="21" t="str">
        <f aca="false">IF($L347&lt;&gt;"Planned","",$K347*$D347)</f>
        <v/>
      </c>
      <c r="R347" s="21" t="str">
        <f aca="false">IF($L347&lt;&gt;"Planned","",MAX(N($E347),$K347*$D347*$N347,$K347*N($G347)))</f>
        <v/>
      </c>
      <c r="S347" s="21" t="str">
        <f aca="false">IF($L347&lt;&gt;"Planned","",$P347)</f>
        <v/>
      </c>
      <c r="T347" s="21" t="str">
        <f aca="false">IF($L347&lt;&gt;"Planned","",$P347+$Q347)</f>
        <v/>
      </c>
      <c r="U347" s="21" t="str">
        <f aca="false">IF($L347&lt;&gt;"Planned","",$T347+$R347)</f>
        <v/>
      </c>
      <c r="V347" s="8" t="str">
        <f aca="false">IF($A347="","",SUMIFS('Open supply'!$C:$C,'Open supply'!$A:$A,$AF347))</f>
        <v/>
      </c>
      <c r="W347" s="8" t="str">
        <f aca="false">IF($A347="","",SUMIFS('Open supply'!$C:$C,'Open supply'!$A:$A,$AF347,'Open supply'!$B:$B,"&lt;"&amp;PlanDate))</f>
        <v/>
      </c>
      <c r="X347" s="8" t="str">
        <f aca="false">IF($A347="","",SUMIFS('Open demand'!$G:$G,'Open demand'!$A:$A,$AF347))</f>
        <v/>
      </c>
      <c r="Y347" s="8" t="str">
        <f aca="false">IF($L347&lt;&gt;"Planned","",N($H347)+$V347-$X347)</f>
        <v/>
      </c>
      <c r="Z347" s="19" t="str">
        <f aca="false">IF($L347&lt;&gt;"Planned","",IF($Y347&lt;=$S347,"Red",IF($Y347&lt;=$T347,"Yellow",IF($Y347&lt;=$U347,"Green","Above green"))))</f>
        <v/>
      </c>
      <c r="AA347" s="22" t="str">
        <f aca="false">IF(OR($L347&lt;&gt;"Planned",N($U347)&lt;=0),"",$Y347/$U347)</f>
        <v/>
      </c>
      <c r="AB347" s="8" t="str">
        <f aca="false">IF($L347&lt;&gt;"Planned","",IF($Y347&lt;=$T347,ROUNDUP(MAX($U347-$Y347,N($E347))/IF(N($F347)&gt;0,$F347,1)-0.000000001,0)*IF(N($F347)&gt;0,$F347,1),""))</f>
        <v/>
      </c>
      <c r="AC347" s="23" t="str">
        <f aca="false">IF(N($AB347)&gt;0,PlanDate+ROUNDUP($D347,0),"")</f>
        <v/>
      </c>
      <c r="AD347" s="19" t="str">
        <f aca="false">IF($L347&lt;&gt;"Planned","",IF(N($H347)&lt;=0,"Stockout",IF(N($H347)&lt;$S347*0.5,"Critical",IF(N($H347)&lt;=$S347,"Low",IF(N($H347)&gt;$U347,"Over top of green","OK")))))</f>
        <v/>
      </c>
      <c r="AE347" s="8" t="str">
        <f aca="false">IF($A347="","",$A347&amp;"")</f>
        <v/>
      </c>
      <c r="AF347" s="8" t="str">
        <f aca="false">IF($A347="","",SUBSTITUTE(SUBSTITUTE(SUBSTITUTE($A347&amp;"","~","~~"),"*","~*"),"?","~?"))</f>
        <v/>
      </c>
    </row>
    <row r="348" customFormat="false" ht="15" hidden="false" customHeight="false" outlineLevel="0" collapsed="false">
      <c r="A348" s="11"/>
      <c r="B348" s="11"/>
      <c r="C348" s="11"/>
      <c r="D348" s="16"/>
      <c r="E348" s="11"/>
      <c r="F348" s="11"/>
      <c r="G348" s="9"/>
      <c r="H348" s="11"/>
      <c r="I348" s="17"/>
      <c r="J348" s="18" t="str">
        <f aca="false">IF($A348="","",IF(COUNT(Usage!$C:$C)=0,"",MAX(0,SUMIFS(Usage!$C:$C,Usage!$A:$A,$AF348,Usage!$B:$B,"&gt;="&amp;(PlanDate-AduWindow),Usage!$B:$B,"&lt;"&amp;PlanDate))/AduWindow))</f>
        <v/>
      </c>
      <c r="K348" s="18" t="str">
        <f aca="false">IF($A348="","",IF(AND(ISNUMBER($I348),N($I348)&gt;=0),$I348,$J348))</f>
        <v/>
      </c>
      <c r="L348" s="19" t="str">
        <f aca="false">IF($A348="","",IF($K348="","Needs ADU",IF($K348&lt;=0,"No recent demand",IF(N($D348)&lt;=0,"Needs lead time","Planned"))))</f>
        <v/>
      </c>
      <c r="M348" s="8" t="str">
        <f aca="false">IF($A348="","",IF(ISNUMBER(MATCH($C348,Profiles!$A$2:$A$100,0)),$C348,DefaultProfile))</f>
        <v/>
      </c>
      <c r="N348" s="20" t="str">
        <f aca="false">IF($A348="","",INDEX(Profiles!$D$2:$D$100,MATCH($M348,Profiles!$A$2:$A$100,0)))</f>
        <v/>
      </c>
      <c r="O348" s="20" t="str">
        <f aca="false">IF($A348="","",INDEX(Profiles!$E$2:$E$100,MATCH($M348,Profiles!$A$2:$A$100,0)))</f>
        <v/>
      </c>
      <c r="P348" s="21" t="str">
        <f aca="false">IF($L348&lt;&gt;"Planned","",$K348*$D348*$N348*(1+$O348))</f>
        <v/>
      </c>
      <c r="Q348" s="21" t="str">
        <f aca="false">IF($L348&lt;&gt;"Planned","",$K348*$D348)</f>
        <v/>
      </c>
      <c r="R348" s="21" t="str">
        <f aca="false">IF($L348&lt;&gt;"Planned","",MAX(N($E348),$K348*$D348*$N348,$K348*N($G348)))</f>
        <v/>
      </c>
      <c r="S348" s="21" t="str">
        <f aca="false">IF($L348&lt;&gt;"Planned","",$P348)</f>
        <v/>
      </c>
      <c r="T348" s="21" t="str">
        <f aca="false">IF($L348&lt;&gt;"Planned","",$P348+$Q348)</f>
        <v/>
      </c>
      <c r="U348" s="21" t="str">
        <f aca="false">IF($L348&lt;&gt;"Planned","",$T348+$R348)</f>
        <v/>
      </c>
      <c r="V348" s="8" t="str">
        <f aca="false">IF($A348="","",SUMIFS('Open supply'!$C:$C,'Open supply'!$A:$A,$AF348))</f>
        <v/>
      </c>
      <c r="W348" s="8" t="str">
        <f aca="false">IF($A348="","",SUMIFS('Open supply'!$C:$C,'Open supply'!$A:$A,$AF348,'Open supply'!$B:$B,"&lt;"&amp;PlanDate))</f>
        <v/>
      </c>
      <c r="X348" s="8" t="str">
        <f aca="false">IF($A348="","",SUMIFS('Open demand'!$G:$G,'Open demand'!$A:$A,$AF348))</f>
        <v/>
      </c>
      <c r="Y348" s="8" t="str">
        <f aca="false">IF($L348&lt;&gt;"Planned","",N($H348)+$V348-$X348)</f>
        <v/>
      </c>
      <c r="Z348" s="19" t="str">
        <f aca="false">IF($L348&lt;&gt;"Planned","",IF($Y348&lt;=$S348,"Red",IF($Y348&lt;=$T348,"Yellow",IF($Y348&lt;=$U348,"Green","Above green"))))</f>
        <v/>
      </c>
      <c r="AA348" s="22" t="str">
        <f aca="false">IF(OR($L348&lt;&gt;"Planned",N($U348)&lt;=0),"",$Y348/$U348)</f>
        <v/>
      </c>
      <c r="AB348" s="8" t="str">
        <f aca="false">IF($L348&lt;&gt;"Planned","",IF($Y348&lt;=$T348,ROUNDUP(MAX($U348-$Y348,N($E348))/IF(N($F348)&gt;0,$F348,1)-0.000000001,0)*IF(N($F348)&gt;0,$F348,1),""))</f>
        <v/>
      </c>
      <c r="AC348" s="23" t="str">
        <f aca="false">IF(N($AB348)&gt;0,PlanDate+ROUNDUP($D348,0),"")</f>
        <v/>
      </c>
      <c r="AD348" s="19" t="str">
        <f aca="false">IF($L348&lt;&gt;"Planned","",IF(N($H348)&lt;=0,"Stockout",IF(N($H348)&lt;$S348*0.5,"Critical",IF(N($H348)&lt;=$S348,"Low",IF(N($H348)&gt;$U348,"Over top of green","OK")))))</f>
        <v/>
      </c>
      <c r="AE348" s="8" t="str">
        <f aca="false">IF($A348="","",$A348&amp;"")</f>
        <v/>
      </c>
      <c r="AF348" s="8" t="str">
        <f aca="false">IF($A348="","",SUBSTITUTE(SUBSTITUTE(SUBSTITUTE($A348&amp;"","~","~~"),"*","~*"),"?","~?"))</f>
        <v/>
      </c>
    </row>
    <row r="349" customFormat="false" ht="15" hidden="false" customHeight="false" outlineLevel="0" collapsed="false">
      <c r="A349" s="11"/>
      <c r="B349" s="11"/>
      <c r="C349" s="11"/>
      <c r="D349" s="16"/>
      <c r="E349" s="11"/>
      <c r="F349" s="11"/>
      <c r="G349" s="9"/>
      <c r="H349" s="11"/>
      <c r="I349" s="17"/>
      <c r="J349" s="18" t="str">
        <f aca="false">IF($A349="","",IF(COUNT(Usage!$C:$C)=0,"",MAX(0,SUMIFS(Usage!$C:$C,Usage!$A:$A,$AF349,Usage!$B:$B,"&gt;="&amp;(PlanDate-AduWindow),Usage!$B:$B,"&lt;"&amp;PlanDate))/AduWindow))</f>
        <v/>
      </c>
      <c r="K349" s="18" t="str">
        <f aca="false">IF($A349="","",IF(AND(ISNUMBER($I349),N($I349)&gt;=0),$I349,$J349))</f>
        <v/>
      </c>
      <c r="L349" s="19" t="str">
        <f aca="false">IF($A349="","",IF($K349="","Needs ADU",IF($K349&lt;=0,"No recent demand",IF(N($D349)&lt;=0,"Needs lead time","Planned"))))</f>
        <v/>
      </c>
      <c r="M349" s="8" t="str">
        <f aca="false">IF($A349="","",IF(ISNUMBER(MATCH($C349,Profiles!$A$2:$A$100,0)),$C349,DefaultProfile))</f>
        <v/>
      </c>
      <c r="N349" s="20" t="str">
        <f aca="false">IF($A349="","",INDEX(Profiles!$D$2:$D$100,MATCH($M349,Profiles!$A$2:$A$100,0)))</f>
        <v/>
      </c>
      <c r="O349" s="20" t="str">
        <f aca="false">IF($A349="","",INDEX(Profiles!$E$2:$E$100,MATCH($M349,Profiles!$A$2:$A$100,0)))</f>
        <v/>
      </c>
      <c r="P349" s="21" t="str">
        <f aca="false">IF($L349&lt;&gt;"Planned","",$K349*$D349*$N349*(1+$O349))</f>
        <v/>
      </c>
      <c r="Q349" s="21" t="str">
        <f aca="false">IF($L349&lt;&gt;"Planned","",$K349*$D349)</f>
        <v/>
      </c>
      <c r="R349" s="21" t="str">
        <f aca="false">IF($L349&lt;&gt;"Planned","",MAX(N($E349),$K349*$D349*$N349,$K349*N($G349)))</f>
        <v/>
      </c>
      <c r="S349" s="21" t="str">
        <f aca="false">IF($L349&lt;&gt;"Planned","",$P349)</f>
        <v/>
      </c>
      <c r="T349" s="21" t="str">
        <f aca="false">IF($L349&lt;&gt;"Planned","",$P349+$Q349)</f>
        <v/>
      </c>
      <c r="U349" s="21" t="str">
        <f aca="false">IF($L349&lt;&gt;"Planned","",$T349+$R349)</f>
        <v/>
      </c>
      <c r="V349" s="8" t="str">
        <f aca="false">IF($A349="","",SUMIFS('Open supply'!$C:$C,'Open supply'!$A:$A,$AF349))</f>
        <v/>
      </c>
      <c r="W349" s="8" t="str">
        <f aca="false">IF($A349="","",SUMIFS('Open supply'!$C:$C,'Open supply'!$A:$A,$AF349,'Open supply'!$B:$B,"&lt;"&amp;PlanDate))</f>
        <v/>
      </c>
      <c r="X349" s="8" t="str">
        <f aca="false">IF($A349="","",SUMIFS('Open demand'!$G:$G,'Open demand'!$A:$A,$AF349))</f>
        <v/>
      </c>
      <c r="Y349" s="8" t="str">
        <f aca="false">IF($L349&lt;&gt;"Planned","",N($H349)+$V349-$X349)</f>
        <v/>
      </c>
      <c r="Z349" s="19" t="str">
        <f aca="false">IF($L349&lt;&gt;"Planned","",IF($Y349&lt;=$S349,"Red",IF($Y349&lt;=$T349,"Yellow",IF($Y349&lt;=$U349,"Green","Above green"))))</f>
        <v/>
      </c>
      <c r="AA349" s="22" t="str">
        <f aca="false">IF(OR($L349&lt;&gt;"Planned",N($U349)&lt;=0),"",$Y349/$U349)</f>
        <v/>
      </c>
      <c r="AB349" s="8" t="str">
        <f aca="false">IF($L349&lt;&gt;"Planned","",IF($Y349&lt;=$T349,ROUNDUP(MAX($U349-$Y349,N($E349))/IF(N($F349)&gt;0,$F349,1)-0.000000001,0)*IF(N($F349)&gt;0,$F349,1),""))</f>
        <v/>
      </c>
      <c r="AC349" s="23" t="str">
        <f aca="false">IF(N($AB349)&gt;0,PlanDate+ROUNDUP($D349,0),"")</f>
        <v/>
      </c>
      <c r="AD349" s="19" t="str">
        <f aca="false">IF($L349&lt;&gt;"Planned","",IF(N($H349)&lt;=0,"Stockout",IF(N($H349)&lt;$S349*0.5,"Critical",IF(N($H349)&lt;=$S349,"Low",IF(N($H349)&gt;$U349,"Over top of green","OK")))))</f>
        <v/>
      </c>
      <c r="AE349" s="8" t="str">
        <f aca="false">IF($A349="","",$A349&amp;"")</f>
        <v/>
      </c>
      <c r="AF349" s="8" t="str">
        <f aca="false">IF($A349="","",SUBSTITUTE(SUBSTITUTE(SUBSTITUTE($A349&amp;"","~","~~"),"*","~*"),"?","~?"))</f>
        <v/>
      </c>
    </row>
    <row r="350" customFormat="false" ht="15" hidden="false" customHeight="false" outlineLevel="0" collapsed="false">
      <c r="A350" s="11"/>
      <c r="B350" s="11"/>
      <c r="C350" s="11"/>
      <c r="D350" s="16"/>
      <c r="E350" s="11"/>
      <c r="F350" s="11"/>
      <c r="G350" s="9"/>
      <c r="H350" s="11"/>
      <c r="I350" s="17"/>
      <c r="J350" s="18" t="str">
        <f aca="false">IF($A350="","",IF(COUNT(Usage!$C:$C)=0,"",MAX(0,SUMIFS(Usage!$C:$C,Usage!$A:$A,$AF350,Usage!$B:$B,"&gt;="&amp;(PlanDate-AduWindow),Usage!$B:$B,"&lt;"&amp;PlanDate))/AduWindow))</f>
        <v/>
      </c>
      <c r="K350" s="18" t="str">
        <f aca="false">IF($A350="","",IF(AND(ISNUMBER($I350),N($I350)&gt;=0),$I350,$J350))</f>
        <v/>
      </c>
      <c r="L350" s="19" t="str">
        <f aca="false">IF($A350="","",IF($K350="","Needs ADU",IF($K350&lt;=0,"No recent demand",IF(N($D350)&lt;=0,"Needs lead time","Planned"))))</f>
        <v/>
      </c>
      <c r="M350" s="8" t="str">
        <f aca="false">IF($A350="","",IF(ISNUMBER(MATCH($C350,Profiles!$A$2:$A$100,0)),$C350,DefaultProfile))</f>
        <v/>
      </c>
      <c r="N350" s="20" t="str">
        <f aca="false">IF($A350="","",INDEX(Profiles!$D$2:$D$100,MATCH($M350,Profiles!$A$2:$A$100,0)))</f>
        <v/>
      </c>
      <c r="O350" s="20" t="str">
        <f aca="false">IF($A350="","",INDEX(Profiles!$E$2:$E$100,MATCH($M350,Profiles!$A$2:$A$100,0)))</f>
        <v/>
      </c>
      <c r="P350" s="21" t="str">
        <f aca="false">IF($L350&lt;&gt;"Planned","",$K350*$D350*$N350*(1+$O350))</f>
        <v/>
      </c>
      <c r="Q350" s="21" t="str">
        <f aca="false">IF($L350&lt;&gt;"Planned","",$K350*$D350)</f>
        <v/>
      </c>
      <c r="R350" s="21" t="str">
        <f aca="false">IF($L350&lt;&gt;"Planned","",MAX(N($E350),$K350*$D350*$N350,$K350*N($G350)))</f>
        <v/>
      </c>
      <c r="S350" s="21" t="str">
        <f aca="false">IF($L350&lt;&gt;"Planned","",$P350)</f>
        <v/>
      </c>
      <c r="T350" s="21" t="str">
        <f aca="false">IF($L350&lt;&gt;"Planned","",$P350+$Q350)</f>
        <v/>
      </c>
      <c r="U350" s="21" t="str">
        <f aca="false">IF($L350&lt;&gt;"Planned","",$T350+$R350)</f>
        <v/>
      </c>
      <c r="V350" s="8" t="str">
        <f aca="false">IF($A350="","",SUMIFS('Open supply'!$C:$C,'Open supply'!$A:$A,$AF350))</f>
        <v/>
      </c>
      <c r="W350" s="8" t="str">
        <f aca="false">IF($A350="","",SUMIFS('Open supply'!$C:$C,'Open supply'!$A:$A,$AF350,'Open supply'!$B:$B,"&lt;"&amp;PlanDate))</f>
        <v/>
      </c>
      <c r="X350" s="8" t="str">
        <f aca="false">IF($A350="","",SUMIFS('Open demand'!$G:$G,'Open demand'!$A:$A,$AF350))</f>
        <v/>
      </c>
      <c r="Y350" s="8" t="str">
        <f aca="false">IF($L350&lt;&gt;"Planned","",N($H350)+$V350-$X350)</f>
        <v/>
      </c>
      <c r="Z350" s="19" t="str">
        <f aca="false">IF($L350&lt;&gt;"Planned","",IF($Y350&lt;=$S350,"Red",IF($Y350&lt;=$T350,"Yellow",IF($Y350&lt;=$U350,"Green","Above green"))))</f>
        <v/>
      </c>
      <c r="AA350" s="22" t="str">
        <f aca="false">IF(OR($L350&lt;&gt;"Planned",N($U350)&lt;=0),"",$Y350/$U350)</f>
        <v/>
      </c>
      <c r="AB350" s="8" t="str">
        <f aca="false">IF($L350&lt;&gt;"Planned","",IF($Y350&lt;=$T350,ROUNDUP(MAX($U350-$Y350,N($E350))/IF(N($F350)&gt;0,$F350,1)-0.000000001,0)*IF(N($F350)&gt;0,$F350,1),""))</f>
        <v/>
      </c>
      <c r="AC350" s="23" t="str">
        <f aca="false">IF(N($AB350)&gt;0,PlanDate+ROUNDUP($D350,0),"")</f>
        <v/>
      </c>
      <c r="AD350" s="19" t="str">
        <f aca="false">IF($L350&lt;&gt;"Planned","",IF(N($H350)&lt;=0,"Stockout",IF(N($H350)&lt;$S350*0.5,"Critical",IF(N($H350)&lt;=$S350,"Low",IF(N($H350)&gt;$U350,"Over top of green","OK")))))</f>
        <v/>
      </c>
      <c r="AE350" s="8" t="str">
        <f aca="false">IF($A350="","",$A350&amp;"")</f>
        <v/>
      </c>
      <c r="AF350" s="8" t="str">
        <f aca="false">IF($A350="","",SUBSTITUTE(SUBSTITUTE(SUBSTITUTE($A350&amp;"","~","~~"),"*","~*"),"?","~?"))</f>
        <v/>
      </c>
    </row>
    <row r="351" customFormat="false" ht="15" hidden="false" customHeight="false" outlineLevel="0" collapsed="false">
      <c r="A351" s="11"/>
      <c r="B351" s="11"/>
      <c r="C351" s="11"/>
      <c r="D351" s="16"/>
      <c r="E351" s="11"/>
      <c r="F351" s="11"/>
      <c r="G351" s="9"/>
      <c r="H351" s="11"/>
      <c r="I351" s="17"/>
      <c r="J351" s="18" t="str">
        <f aca="false">IF($A351="","",IF(COUNT(Usage!$C:$C)=0,"",MAX(0,SUMIFS(Usage!$C:$C,Usage!$A:$A,$AF351,Usage!$B:$B,"&gt;="&amp;(PlanDate-AduWindow),Usage!$B:$B,"&lt;"&amp;PlanDate))/AduWindow))</f>
        <v/>
      </c>
      <c r="K351" s="18" t="str">
        <f aca="false">IF($A351="","",IF(AND(ISNUMBER($I351),N($I351)&gt;=0),$I351,$J351))</f>
        <v/>
      </c>
      <c r="L351" s="19" t="str">
        <f aca="false">IF($A351="","",IF($K351="","Needs ADU",IF($K351&lt;=0,"No recent demand",IF(N($D351)&lt;=0,"Needs lead time","Planned"))))</f>
        <v/>
      </c>
      <c r="M351" s="8" t="str">
        <f aca="false">IF($A351="","",IF(ISNUMBER(MATCH($C351,Profiles!$A$2:$A$100,0)),$C351,DefaultProfile))</f>
        <v/>
      </c>
      <c r="N351" s="20" t="str">
        <f aca="false">IF($A351="","",INDEX(Profiles!$D$2:$D$100,MATCH($M351,Profiles!$A$2:$A$100,0)))</f>
        <v/>
      </c>
      <c r="O351" s="20" t="str">
        <f aca="false">IF($A351="","",INDEX(Profiles!$E$2:$E$100,MATCH($M351,Profiles!$A$2:$A$100,0)))</f>
        <v/>
      </c>
      <c r="P351" s="21" t="str">
        <f aca="false">IF($L351&lt;&gt;"Planned","",$K351*$D351*$N351*(1+$O351))</f>
        <v/>
      </c>
      <c r="Q351" s="21" t="str">
        <f aca="false">IF($L351&lt;&gt;"Planned","",$K351*$D351)</f>
        <v/>
      </c>
      <c r="R351" s="21" t="str">
        <f aca="false">IF($L351&lt;&gt;"Planned","",MAX(N($E351),$K351*$D351*$N351,$K351*N($G351)))</f>
        <v/>
      </c>
      <c r="S351" s="21" t="str">
        <f aca="false">IF($L351&lt;&gt;"Planned","",$P351)</f>
        <v/>
      </c>
      <c r="T351" s="21" t="str">
        <f aca="false">IF($L351&lt;&gt;"Planned","",$P351+$Q351)</f>
        <v/>
      </c>
      <c r="U351" s="21" t="str">
        <f aca="false">IF($L351&lt;&gt;"Planned","",$T351+$R351)</f>
        <v/>
      </c>
      <c r="V351" s="8" t="str">
        <f aca="false">IF($A351="","",SUMIFS('Open supply'!$C:$C,'Open supply'!$A:$A,$AF351))</f>
        <v/>
      </c>
      <c r="W351" s="8" t="str">
        <f aca="false">IF($A351="","",SUMIFS('Open supply'!$C:$C,'Open supply'!$A:$A,$AF351,'Open supply'!$B:$B,"&lt;"&amp;PlanDate))</f>
        <v/>
      </c>
      <c r="X351" s="8" t="str">
        <f aca="false">IF($A351="","",SUMIFS('Open demand'!$G:$G,'Open demand'!$A:$A,$AF351))</f>
        <v/>
      </c>
      <c r="Y351" s="8" t="str">
        <f aca="false">IF($L351&lt;&gt;"Planned","",N($H351)+$V351-$X351)</f>
        <v/>
      </c>
      <c r="Z351" s="19" t="str">
        <f aca="false">IF($L351&lt;&gt;"Planned","",IF($Y351&lt;=$S351,"Red",IF($Y351&lt;=$T351,"Yellow",IF($Y351&lt;=$U351,"Green","Above green"))))</f>
        <v/>
      </c>
      <c r="AA351" s="22" t="str">
        <f aca="false">IF(OR($L351&lt;&gt;"Planned",N($U351)&lt;=0),"",$Y351/$U351)</f>
        <v/>
      </c>
      <c r="AB351" s="8" t="str">
        <f aca="false">IF($L351&lt;&gt;"Planned","",IF($Y351&lt;=$T351,ROUNDUP(MAX($U351-$Y351,N($E351))/IF(N($F351)&gt;0,$F351,1)-0.000000001,0)*IF(N($F351)&gt;0,$F351,1),""))</f>
        <v/>
      </c>
      <c r="AC351" s="23" t="str">
        <f aca="false">IF(N($AB351)&gt;0,PlanDate+ROUNDUP($D351,0),"")</f>
        <v/>
      </c>
      <c r="AD351" s="19" t="str">
        <f aca="false">IF($L351&lt;&gt;"Planned","",IF(N($H351)&lt;=0,"Stockout",IF(N($H351)&lt;$S351*0.5,"Critical",IF(N($H351)&lt;=$S351,"Low",IF(N($H351)&gt;$U351,"Over top of green","OK")))))</f>
        <v/>
      </c>
      <c r="AE351" s="8" t="str">
        <f aca="false">IF($A351="","",$A351&amp;"")</f>
        <v/>
      </c>
      <c r="AF351" s="8" t="str">
        <f aca="false">IF($A351="","",SUBSTITUTE(SUBSTITUTE(SUBSTITUTE($A351&amp;"","~","~~"),"*","~*"),"?","~?"))</f>
        <v/>
      </c>
    </row>
    <row r="352" customFormat="false" ht="15" hidden="false" customHeight="false" outlineLevel="0" collapsed="false">
      <c r="A352" s="11"/>
      <c r="B352" s="11"/>
      <c r="C352" s="11"/>
      <c r="D352" s="16"/>
      <c r="E352" s="11"/>
      <c r="F352" s="11"/>
      <c r="G352" s="9"/>
      <c r="H352" s="11"/>
      <c r="I352" s="17"/>
      <c r="J352" s="18" t="str">
        <f aca="false">IF($A352="","",IF(COUNT(Usage!$C:$C)=0,"",MAX(0,SUMIFS(Usage!$C:$C,Usage!$A:$A,$AF352,Usage!$B:$B,"&gt;="&amp;(PlanDate-AduWindow),Usage!$B:$B,"&lt;"&amp;PlanDate))/AduWindow))</f>
        <v/>
      </c>
      <c r="K352" s="18" t="str">
        <f aca="false">IF($A352="","",IF(AND(ISNUMBER($I352),N($I352)&gt;=0),$I352,$J352))</f>
        <v/>
      </c>
      <c r="L352" s="19" t="str">
        <f aca="false">IF($A352="","",IF($K352="","Needs ADU",IF($K352&lt;=0,"No recent demand",IF(N($D352)&lt;=0,"Needs lead time","Planned"))))</f>
        <v/>
      </c>
      <c r="M352" s="8" t="str">
        <f aca="false">IF($A352="","",IF(ISNUMBER(MATCH($C352,Profiles!$A$2:$A$100,0)),$C352,DefaultProfile))</f>
        <v/>
      </c>
      <c r="N352" s="20" t="str">
        <f aca="false">IF($A352="","",INDEX(Profiles!$D$2:$D$100,MATCH($M352,Profiles!$A$2:$A$100,0)))</f>
        <v/>
      </c>
      <c r="O352" s="20" t="str">
        <f aca="false">IF($A352="","",INDEX(Profiles!$E$2:$E$100,MATCH($M352,Profiles!$A$2:$A$100,0)))</f>
        <v/>
      </c>
      <c r="P352" s="21" t="str">
        <f aca="false">IF($L352&lt;&gt;"Planned","",$K352*$D352*$N352*(1+$O352))</f>
        <v/>
      </c>
      <c r="Q352" s="21" t="str">
        <f aca="false">IF($L352&lt;&gt;"Planned","",$K352*$D352)</f>
        <v/>
      </c>
      <c r="R352" s="21" t="str">
        <f aca="false">IF($L352&lt;&gt;"Planned","",MAX(N($E352),$K352*$D352*$N352,$K352*N($G352)))</f>
        <v/>
      </c>
      <c r="S352" s="21" t="str">
        <f aca="false">IF($L352&lt;&gt;"Planned","",$P352)</f>
        <v/>
      </c>
      <c r="T352" s="21" t="str">
        <f aca="false">IF($L352&lt;&gt;"Planned","",$P352+$Q352)</f>
        <v/>
      </c>
      <c r="U352" s="21" t="str">
        <f aca="false">IF($L352&lt;&gt;"Planned","",$T352+$R352)</f>
        <v/>
      </c>
      <c r="V352" s="8" t="str">
        <f aca="false">IF($A352="","",SUMIFS('Open supply'!$C:$C,'Open supply'!$A:$A,$AF352))</f>
        <v/>
      </c>
      <c r="W352" s="8" t="str">
        <f aca="false">IF($A352="","",SUMIFS('Open supply'!$C:$C,'Open supply'!$A:$A,$AF352,'Open supply'!$B:$B,"&lt;"&amp;PlanDate))</f>
        <v/>
      </c>
      <c r="X352" s="8" t="str">
        <f aca="false">IF($A352="","",SUMIFS('Open demand'!$G:$G,'Open demand'!$A:$A,$AF352))</f>
        <v/>
      </c>
      <c r="Y352" s="8" t="str">
        <f aca="false">IF($L352&lt;&gt;"Planned","",N($H352)+$V352-$X352)</f>
        <v/>
      </c>
      <c r="Z352" s="19" t="str">
        <f aca="false">IF($L352&lt;&gt;"Planned","",IF($Y352&lt;=$S352,"Red",IF($Y352&lt;=$T352,"Yellow",IF($Y352&lt;=$U352,"Green","Above green"))))</f>
        <v/>
      </c>
      <c r="AA352" s="22" t="str">
        <f aca="false">IF(OR($L352&lt;&gt;"Planned",N($U352)&lt;=0),"",$Y352/$U352)</f>
        <v/>
      </c>
      <c r="AB352" s="8" t="str">
        <f aca="false">IF($L352&lt;&gt;"Planned","",IF($Y352&lt;=$T352,ROUNDUP(MAX($U352-$Y352,N($E352))/IF(N($F352)&gt;0,$F352,1)-0.000000001,0)*IF(N($F352)&gt;0,$F352,1),""))</f>
        <v/>
      </c>
      <c r="AC352" s="23" t="str">
        <f aca="false">IF(N($AB352)&gt;0,PlanDate+ROUNDUP($D352,0),"")</f>
        <v/>
      </c>
      <c r="AD352" s="19" t="str">
        <f aca="false">IF($L352&lt;&gt;"Planned","",IF(N($H352)&lt;=0,"Stockout",IF(N($H352)&lt;$S352*0.5,"Critical",IF(N($H352)&lt;=$S352,"Low",IF(N($H352)&gt;$U352,"Over top of green","OK")))))</f>
        <v/>
      </c>
      <c r="AE352" s="8" t="str">
        <f aca="false">IF($A352="","",$A352&amp;"")</f>
        <v/>
      </c>
      <c r="AF352" s="8" t="str">
        <f aca="false">IF($A352="","",SUBSTITUTE(SUBSTITUTE(SUBSTITUTE($A352&amp;"","~","~~"),"*","~*"),"?","~?"))</f>
        <v/>
      </c>
    </row>
    <row r="353" customFormat="false" ht="15" hidden="false" customHeight="false" outlineLevel="0" collapsed="false">
      <c r="A353" s="11"/>
      <c r="B353" s="11"/>
      <c r="C353" s="11"/>
      <c r="D353" s="16"/>
      <c r="E353" s="11"/>
      <c r="F353" s="11"/>
      <c r="G353" s="9"/>
      <c r="H353" s="11"/>
      <c r="I353" s="17"/>
      <c r="J353" s="18" t="str">
        <f aca="false">IF($A353="","",IF(COUNT(Usage!$C:$C)=0,"",MAX(0,SUMIFS(Usage!$C:$C,Usage!$A:$A,$AF353,Usage!$B:$B,"&gt;="&amp;(PlanDate-AduWindow),Usage!$B:$B,"&lt;"&amp;PlanDate))/AduWindow))</f>
        <v/>
      </c>
      <c r="K353" s="18" t="str">
        <f aca="false">IF($A353="","",IF(AND(ISNUMBER($I353),N($I353)&gt;=0),$I353,$J353))</f>
        <v/>
      </c>
      <c r="L353" s="19" t="str">
        <f aca="false">IF($A353="","",IF($K353="","Needs ADU",IF($K353&lt;=0,"No recent demand",IF(N($D353)&lt;=0,"Needs lead time","Planned"))))</f>
        <v/>
      </c>
      <c r="M353" s="8" t="str">
        <f aca="false">IF($A353="","",IF(ISNUMBER(MATCH($C353,Profiles!$A$2:$A$100,0)),$C353,DefaultProfile))</f>
        <v/>
      </c>
      <c r="N353" s="20" t="str">
        <f aca="false">IF($A353="","",INDEX(Profiles!$D$2:$D$100,MATCH($M353,Profiles!$A$2:$A$100,0)))</f>
        <v/>
      </c>
      <c r="O353" s="20" t="str">
        <f aca="false">IF($A353="","",INDEX(Profiles!$E$2:$E$100,MATCH($M353,Profiles!$A$2:$A$100,0)))</f>
        <v/>
      </c>
      <c r="P353" s="21" t="str">
        <f aca="false">IF($L353&lt;&gt;"Planned","",$K353*$D353*$N353*(1+$O353))</f>
        <v/>
      </c>
      <c r="Q353" s="21" t="str">
        <f aca="false">IF($L353&lt;&gt;"Planned","",$K353*$D353)</f>
        <v/>
      </c>
      <c r="R353" s="21" t="str">
        <f aca="false">IF($L353&lt;&gt;"Planned","",MAX(N($E353),$K353*$D353*$N353,$K353*N($G353)))</f>
        <v/>
      </c>
      <c r="S353" s="21" t="str">
        <f aca="false">IF($L353&lt;&gt;"Planned","",$P353)</f>
        <v/>
      </c>
      <c r="T353" s="21" t="str">
        <f aca="false">IF($L353&lt;&gt;"Planned","",$P353+$Q353)</f>
        <v/>
      </c>
      <c r="U353" s="21" t="str">
        <f aca="false">IF($L353&lt;&gt;"Planned","",$T353+$R353)</f>
        <v/>
      </c>
      <c r="V353" s="8" t="str">
        <f aca="false">IF($A353="","",SUMIFS('Open supply'!$C:$C,'Open supply'!$A:$A,$AF353))</f>
        <v/>
      </c>
      <c r="W353" s="8" t="str">
        <f aca="false">IF($A353="","",SUMIFS('Open supply'!$C:$C,'Open supply'!$A:$A,$AF353,'Open supply'!$B:$B,"&lt;"&amp;PlanDate))</f>
        <v/>
      </c>
      <c r="X353" s="8" t="str">
        <f aca="false">IF($A353="","",SUMIFS('Open demand'!$G:$G,'Open demand'!$A:$A,$AF353))</f>
        <v/>
      </c>
      <c r="Y353" s="8" t="str">
        <f aca="false">IF($L353&lt;&gt;"Planned","",N($H353)+$V353-$X353)</f>
        <v/>
      </c>
      <c r="Z353" s="19" t="str">
        <f aca="false">IF($L353&lt;&gt;"Planned","",IF($Y353&lt;=$S353,"Red",IF($Y353&lt;=$T353,"Yellow",IF($Y353&lt;=$U353,"Green","Above green"))))</f>
        <v/>
      </c>
      <c r="AA353" s="22" t="str">
        <f aca="false">IF(OR($L353&lt;&gt;"Planned",N($U353)&lt;=0),"",$Y353/$U353)</f>
        <v/>
      </c>
      <c r="AB353" s="8" t="str">
        <f aca="false">IF($L353&lt;&gt;"Planned","",IF($Y353&lt;=$T353,ROUNDUP(MAX($U353-$Y353,N($E353))/IF(N($F353)&gt;0,$F353,1)-0.000000001,0)*IF(N($F353)&gt;0,$F353,1),""))</f>
        <v/>
      </c>
      <c r="AC353" s="23" t="str">
        <f aca="false">IF(N($AB353)&gt;0,PlanDate+ROUNDUP($D353,0),"")</f>
        <v/>
      </c>
      <c r="AD353" s="19" t="str">
        <f aca="false">IF($L353&lt;&gt;"Planned","",IF(N($H353)&lt;=0,"Stockout",IF(N($H353)&lt;$S353*0.5,"Critical",IF(N($H353)&lt;=$S353,"Low",IF(N($H353)&gt;$U353,"Over top of green","OK")))))</f>
        <v/>
      </c>
      <c r="AE353" s="8" t="str">
        <f aca="false">IF($A353="","",$A353&amp;"")</f>
        <v/>
      </c>
      <c r="AF353" s="8" t="str">
        <f aca="false">IF($A353="","",SUBSTITUTE(SUBSTITUTE(SUBSTITUTE($A353&amp;"","~","~~"),"*","~*"),"?","~?"))</f>
        <v/>
      </c>
    </row>
    <row r="354" customFormat="false" ht="15" hidden="false" customHeight="false" outlineLevel="0" collapsed="false">
      <c r="A354" s="11"/>
      <c r="B354" s="11"/>
      <c r="C354" s="11"/>
      <c r="D354" s="16"/>
      <c r="E354" s="11"/>
      <c r="F354" s="11"/>
      <c r="G354" s="9"/>
      <c r="H354" s="11"/>
      <c r="I354" s="17"/>
      <c r="J354" s="18" t="str">
        <f aca="false">IF($A354="","",IF(COUNT(Usage!$C:$C)=0,"",MAX(0,SUMIFS(Usage!$C:$C,Usage!$A:$A,$AF354,Usage!$B:$B,"&gt;="&amp;(PlanDate-AduWindow),Usage!$B:$B,"&lt;"&amp;PlanDate))/AduWindow))</f>
        <v/>
      </c>
      <c r="K354" s="18" t="str">
        <f aca="false">IF($A354="","",IF(AND(ISNUMBER($I354),N($I354)&gt;=0),$I354,$J354))</f>
        <v/>
      </c>
      <c r="L354" s="19" t="str">
        <f aca="false">IF($A354="","",IF($K354="","Needs ADU",IF($K354&lt;=0,"No recent demand",IF(N($D354)&lt;=0,"Needs lead time","Planned"))))</f>
        <v/>
      </c>
      <c r="M354" s="8" t="str">
        <f aca="false">IF($A354="","",IF(ISNUMBER(MATCH($C354,Profiles!$A$2:$A$100,0)),$C354,DefaultProfile))</f>
        <v/>
      </c>
      <c r="N354" s="20" t="str">
        <f aca="false">IF($A354="","",INDEX(Profiles!$D$2:$D$100,MATCH($M354,Profiles!$A$2:$A$100,0)))</f>
        <v/>
      </c>
      <c r="O354" s="20" t="str">
        <f aca="false">IF($A354="","",INDEX(Profiles!$E$2:$E$100,MATCH($M354,Profiles!$A$2:$A$100,0)))</f>
        <v/>
      </c>
      <c r="P354" s="21" t="str">
        <f aca="false">IF($L354&lt;&gt;"Planned","",$K354*$D354*$N354*(1+$O354))</f>
        <v/>
      </c>
      <c r="Q354" s="21" t="str">
        <f aca="false">IF($L354&lt;&gt;"Planned","",$K354*$D354)</f>
        <v/>
      </c>
      <c r="R354" s="21" t="str">
        <f aca="false">IF($L354&lt;&gt;"Planned","",MAX(N($E354),$K354*$D354*$N354,$K354*N($G354)))</f>
        <v/>
      </c>
      <c r="S354" s="21" t="str">
        <f aca="false">IF($L354&lt;&gt;"Planned","",$P354)</f>
        <v/>
      </c>
      <c r="T354" s="21" t="str">
        <f aca="false">IF($L354&lt;&gt;"Planned","",$P354+$Q354)</f>
        <v/>
      </c>
      <c r="U354" s="21" t="str">
        <f aca="false">IF($L354&lt;&gt;"Planned","",$T354+$R354)</f>
        <v/>
      </c>
      <c r="V354" s="8" t="str">
        <f aca="false">IF($A354="","",SUMIFS('Open supply'!$C:$C,'Open supply'!$A:$A,$AF354))</f>
        <v/>
      </c>
      <c r="W354" s="8" t="str">
        <f aca="false">IF($A354="","",SUMIFS('Open supply'!$C:$C,'Open supply'!$A:$A,$AF354,'Open supply'!$B:$B,"&lt;"&amp;PlanDate))</f>
        <v/>
      </c>
      <c r="X354" s="8" t="str">
        <f aca="false">IF($A354="","",SUMIFS('Open demand'!$G:$G,'Open demand'!$A:$A,$AF354))</f>
        <v/>
      </c>
      <c r="Y354" s="8" t="str">
        <f aca="false">IF($L354&lt;&gt;"Planned","",N($H354)+$V354-$X354)</f>
        <v/>
      </c>
      <c r="Z354" s="19" t="str">
        <f aca="false">IF($L354&lt;&gt;"Planned","",IF($Y354&lt;=$S354,"Red",IF($Y354&lt;=$T354,"Yellow",IF($Y354&lt;=$U354,"Green","Above green"))))</f>
        <v/>
      </c>
      <c r="AA354" s="22" t="str">
        <f aca="false">IF(OR($L354&lt;&gt;"Planned",N($U354)&lt;=0),"",$Y354/$U354)</f>
        <v/>
      </c>
      <c r="AB354" s="8" t="str">
        <f aca="false">IF($L354&lt;&gt;"Planned","",IF($Y354&lt;=$T354,ROUNDUP(MAX($U354-$Y354,N($E354))/IF(N($F354)&gt;0,$F354,1)-0.000000001,0)*IF(N($F354)&gt;0,$F354,1),""))</f>
        <v/>
      </c>
      <c r="AC354" s="23" t="str">
        <f aca="false">IF(N($AB354)&gt;0,PlanDate+ROUNDUP($D354,0),"")</f>
        <v/>
      </c>
      <c r="AD354" s="19" t="str">
        <f aca="false">IF($L354&lt;&gt;"Planned","",IF(N($H354)&lt;=0,"Stockout",IF(N($H354)&lt;$S354*0.5,"Critical",IF(N($H354)&lt;=$S354,"Low",IF(N($H354)&gt;$U354,"Over top of green","OK")))))</f>
        <v/>
      </c>
      <c r="AE354" s="8" t="str">
        <f aca="false">IF($A354="","",$A354&amp;"")</f>
        <v/>
      </c>
      <c r="AF354" s="8" t="str">
        <f aca="false">IF($A354="","",SUBSTITUTE(SUBSTITUTE(SUBSTITUTE($A354&amp;"","~","~~"),"*","~*"),"?","~?"))</f>
        <v/>
      </c>
    </row>
    <row r="355" customFormat="false" ht="15" hidden="false" customHeight="false" outlineLevel="0" collapsed="false">
      <c r="A355" s="11"/>
      <c r="B355" s="11"/>
      <c r="C355" s="11"/>
      <c r="D355" s="16"/>
      <c r="E355" s="11"/>
      <c r="F355" s="11"/>
      <c r="G355" s="9"/>
      <c r="H355" s="11"/>
      <c r="I355" s="17"/>
      <c r="J355" s="18" t="str">
        <f aca="false">IF($A355="","",IF(COUNT(Usage!$C:$C)=0,"",MAX(0,SUMIFS(Usage!$C:$C,Usage!$A:$A,$AF355,Usage!$B:$B,"&gt;="&amp;(PlanDate-AduWindow),Usage!$B:$B,"&lt;"&amp;PlanDate))/AduWindow))</f>
        <v/>
      </c>
      <c r="K355" s="18" t="str">
        <f aca="false">IF($A355="","",IF(AND(ISNUMBER($I355),N($I355)&gt;=0),$I355,$J355))</f>
        <v/>
      </c>
      <c r="L355" s="19" t="str">
        <f aca="false">IF($A355="","",IF($K355="","Needs ADU",IF($K355&lt;=0,"No recent demand",IF(N($D355)&lt;=0,"Needs lead time","Planned"))))</f>
        <v/>
      </c>
      <c r="M355" s="8" t="str">
        <f aca="false">IF($A355="","",IF(ISNUMBER(MATCH($C355,Profiles!$A$2:$A$100,0)),$C355,DefaultProfile))</f>
        <v/>
      </c>
      <c r="N355" s="20" t="str">
        <f aca="false">IF($A355="","",INDEX(Profiles!$D$2:$D$100,MATCH($M355,Profiles!$A$2:$A$100,0)))</f>
        <v/>
      </c>
      <c r="O355" s="20" t="str">
        <f aca="false">IF($A355="","",INDEX(Profiles!$E$2:$E$100,MATCH($M355,Profiles!$A$2:$A$100,0)))</f>
        <v/>
      </c>
      <c r="P355" s="21" t="str">
        <f aca="false">IF($L355&lt;&gt;"Planned","",$K355*$D355*$N355*(1+$O355))</f>
        <v/>
      </c>
      <c r="Q355" s="21" t="str">
        <f aca="false">IF($L355&lt;&gt;"Planned","",$K355*$D355)</f>
        <v/>
      </c>
      <c r="R355" s="21" t="str">
        <f aca="false">IF($L355&lt;&gt;"Planned","",MAX(N($E355),$K355*$D355*$N355,$K355*N($G355)))</f>
        <v/>
      </c>
      <c r="S355" s="21" t="str">
        <f aca="false">IF($L355&lt;&gt;"Planned","",$P355)</f>
        <v/>
      </c>
      <c r="T355" s="21" t="str">
        <f aca="false">IF($L355&lt;&gt;"Planned","",$P355+$Q355)</f>
        <v/>
      </c>
      <c r="U355" s="21" t="str">
        <f aca="false">IF($L355&lt;&gt;"Planned","",$T355+$R355)</f>
        <v/>
      </c>
      <c r="V355" s="8" t="str">
        <f aca="false">IF($A355="","",SUMIFS('Open supply'!$C:$C,'Open supply'!$A:$A,$AF355))</f>
        <v/>
      </c>
      <c r="W355" s="8" t="str">
        <f aca="false">IF($A355="","",SUMIFS('Open supply'!$C:$C,'Open supply'!$A:$A,$AF355,'Open supply'!$B:$B,"&lt;"&amp;PlanDate))</f>
        <v/>
      </c>
      <c r="X355" s="8" t="str">
        <f aca="false">IF($A355="","",SUMIFS('Open demand'!$G:$G,'Open demand'!$A:$A,$AF355))</f>
        <v/>
      </c>
      <c r="Y355" s="8" t="str">
        <f aca="false">IF($L355&lt;&gt;"Planned","",N($H355)+$V355-$X355)</f>
        <v/>
      </c>
      <c r="Z355" s="19" t="str">
        <f aca="false">IF($L355&lt;&gt;"Planned","",IF($Y355&lt;=$S355,"Red",IF($Y355&lt;=$T355,"Yellow",IF($Y355&lt;=$U355,"Green","Above green"))))</f>
        <v/>
      </c>
      <c r="AA355" s="22" t="str">
        <f aca="false">IF(OR($L355&lt;&gt;"Planned",N($U355)&lt;=0),"",$Y355/$U355)</f>
        <v/>
      </c>
      <c r="AB355" s="8" t="str">
        <f aca="false">IF($L355&lt;&gt;"Planned","",IF($Y355&lt;=$T355,ROUNDUP(MAX($U355-$Y355,N($E355))/IF(N($F355)&gt;0,$F355,1)-0.000000001,0)*IF(N($F355)&gt;0,$F355,1),""))</f>
        <v/>
      </c>
      <c r="AC355" s="23" t="str">
        <f aca="false">IF(N($AB355)&gt;0,PlanDate+ROUNDUP($D355,0),"")</f>
        <v/>
      </c>
      <c r="AD355" s="19" t="str">
        <f aca="false">IF($L355&lt;&gt;"Planned","",IF(N($H355)&lt;=0,"Stockout",IF(N($H355)&lt;$S355*0.5,"Critical",IF(N($H355)&lt;=$S355,"Low",IF(N($H355)&gt;$U355,"Over top of green","OK")))))</f>
        <v/>
      </c>
      <c r="AE355" s="8" t="str">
        <f aca="false">IF($A355="","",$A355&amp;"")</f>
        <v/>
      </c>
      <c r="AF355" s="8" t="str">
        <f aca="false">IF($A355="","",SUBSTITUTE(SUBSTITUTE(SUBSTITUTE($A355&amp;"","~","~~"),"*","~*"),"?","~?"))</f>
        <v/>
      </c>
    </row>
    <row r="356" customFormat="false" ht="15" hidden="false" customHeight="false" outlineLevel="0" collapsed="false">
      <c r="A356" s="11"/>
      <c r="B356" s="11"/>
      <c r="C356" s="11"/>
      <c r="D356" s="16"/>
      <c r="E356" s="11"/>
      <c r="F356" s="11"/>
      <c r="G356" s="9"/>
      <c r="H356" s="11"/>
      <c r="I356" s="17"/>
      <c r="J356" s="18" t="str">
        <f aca="false">IF($A356="","",IF(COUNT(Usage!$C:$C)=0,"",MAX(0,SUMIFS(Usage!$C:$C,Usage!$A:$A,$AF356,Usage!$B:$B,"&gt;="&amp;(PlanDate-AduWindow),Usage!$B:$B,"&lt;"&amp;PlanDate))/AduWindow))</f>
        <v/>
      </c>
      <c r="K356" s="18" t="str">
        <f aca="false">IF($A356="","",IF(AND(ISNUMBER($I356),N($I356)&gt;=0),$I356,$J356))</f>
        <v/>
      </c>
      <c r="L356" s="19" t="str">
        <f aca="false">IF($A356="","",IF($K356="","Needs ADU",IF($K356&lt;=0,"No recent demand",IF(N($D356)&lt;=0,"Needs lead time","Planned"))))</f>
        <v/>
      </c>
      <c r="M356" s="8" t="str">
        <f aca="false">IF($A356="","",IF(ISNUMBER(MATCH($C356,Profiles!$A$2:$A$100,0)),$C356,DefaultProfile))</f>
        <v/>
      </c>
      <c r="N356" s="20" t="str">
        <f aca="false">IF($A356="","",INDEX(Profiles!$D$2:$D$100,MATCH($M356,Profiles!$A$2:$A$100,0)))</f>
        <v/>
      </c>
      <c r="O356" s="20" t="str">
        <f aca="false">IF($A356="","",INDEX(Profiles!$E$2:$E$100,MATCH($M356,Profiles!$A$2:$A$100,0)))</f>
        <v/>
      </c>
      <c r="P356" s="21" t="str">
        <f aca="false">IF($L356&lt;&gt;"Planned","",$K356*$D356*$N356*(1+$O356))</f>
        <v/>
      </c>
      <c r="Q356" s="21" t="str">
        <f aca="false">IF($L356&lt;&gt;"Planned","",$K356*$D356)</f>
        <v/>
      </c>
      <c r="R356" s="21" t="str">
        <f aca="false">IF($L356&lt;&gt;"Planned","",MAX(N($E356),$K356*$D356*$N356,$K356*N($G356)))</f>
        <v/>
      </c>
      <c r="S356" s="21" t="str">
        <f aca="false">IF($L356&lt;&gt;"Planned","",$P356)</f>
        <v/>
      </c>
      <c r="T356" s="21" t="str">
        <f aca="false">IF($L356&lt;&gt;"Planned","",$P356+$Q356)</f>
        <v/>
      </c>
      <c r="U356" s="21" t="str">
        <f aca="false">IF($L356&lt;&gt;"Planned","",$T356+$R356)</f>
        <v/>
      </c>
      <c r="V356" s="8" t="str">
        <f aca="false">IF($A356="","",SUMIFS('Open supply'!$C:$C,'Open supply'!$A:$A,$AF356))</f>
        <v/>
      </c>
      <c r="W356" s="8" t="str">
        <f aca="false">IF($A356="","",SUMIFS('Open supply'!$C:$C,'Open supply'!$A:$A,$AF356,'Open supply'!$B:$B,"&lt;"&amp;PlanDate))</f>
        <v/>
      </c>
      <c r="X356" s="8" t="str">
        <f aca="false">IF($A356="","",SUMIFS('Open demand'!$G:$G,'Open demand'!$A:$A,$AF356))</f>
        <v/>
      </c>
      <c r="Y356" s="8" t="str">
        <f aca="false">IF($L356&lt;&gt;"Planned","",N($H356)+$V356-$X356)</f>
        <v/>
      </c>
      <c r="Z356" s="19" t="str">
        <f aca="false">IF($L356&lt;&gt;"Planned","",IF($Y356&lt;=$S356,"Red",IF($Y356&lt;=$T356,"Yellow",IF($Y356&lt;=$U356,"Green","Above green"))))</f>
        <v/>
      </c>
      <c r="AA356" s="22" t="str">
        <f aca="false">IF(OR($L356&lt;&gt;"Planned",N($U356)&lt;=0),"",$Y356/$U356)</f>
        <v/>
      </c>
      <c r="AB356" s="8" t="str">
        <f aca="false">IF($L356&lt;&gt;"Planned","",IF($Y356&lt;=$T356,ROUNDUP(MAX($U356-$Y356,N($E356))/IF(N($F356)&gt;0,$F356,1)-0.000000001,0)*IF(N($F356)&gt;0,$F356,1),""))</f>
        <v/>
      </c>
      <c r="AC356" s="23" t="str">
        <f aca="false">IF(N($AB356)&gt;0,PlanDate+ROUNDUP($D356,0),"")</f>
        <v/>
      </c>
      <c r="AD356" s="19" t="str">
        <f aca="false">IF($L356&lt;&gt;"Planned","",IF(N($H356)&lt;=0,"Stockout",IF(N($H356)&lt;$S356*0.5,"Critical",IF(N($H356)&lt;=$S356,"Low",IF(N($H356)&gt;$U356,"Over top of green","OK")))))</f>
        <v/>
      </c>
      <c r="AE356" s="8" t="str">
        <f aca="false">IF($A356="","",$A356&amp;"")</f>
        <v/>
      </c>
      <c r="AF356" s="8" t="str">
        <f aca="false">IF($A356="","",SUBSTITUTE(SUBSTITUTE(SUBSTITUTE($A356&amp;"","~","~~"),"*","~*"),"?","~?"))</f>
        <v/>
      </c>
    </row>
    <row r="357" customFormat="false" ht="15" hidden="false" customHeight="false" outlineLevel="0" collapsed="false">
      <c r="A357" s="11"/>
      <c r="B357" s="11"/>
      <c r="C357" s="11"/>
      <c r="D357" s="16"/>
      <c r="E357" s="11"/>
      <c r="F357" s="11"/>
      <c r="G357" s="9"/>
      <c r="H357" s="11"/>
      <c r="I357" s="17"/>
      <c r="J357" s="18" t="str">
        <f aca="false">IF($A357="","",IF(COUNT(Usage!$C:$C)=0,"",MAX(0,SUMIFS(Usage!$C:$C,Usage!$A:$A,$AF357,Usage!$B:$B,"&gt;="&amp;(PlanDate-AduWindow),Usage!$B:$B,"&lt;"&amp;PlanDate))/AduWindow))</f>
        <v/>
      </c>
      <c r="K357" s="18" t="str">
        <f aca="false">IF($A357="","",IF(AND(ISNUMBER($I357),N($I357)&gt;=0),$I357,$J357))</f>
        <v/>
      </c>
      <c r="L357" s="19" t="str">
        <f aca="false">IF($A357="","",IF($K357="","Needs ADU",IF($K357&lt;=0,"No recent demand",IF(N($D357)&lt;=0,"Needs lead time","Planned"))))</f>
        <v/>
      </c>
      <c r="M357" s="8" t="str">
        <f aca="false">IF($A357="","",IF(ISNUMBER(MATCH($C357,Profiles!$A$2:$A$100,0)),$C357,DefaultProfile))</f>
        <v/>
      </c>
      <c r="N357" s="20" t="str">
        <f aca="false">IF($A357="","",INDEX(Profiles!$D$2:$D$100,MATCH($M357,Profiles!$A$2:$A$100,0)))</f>
        <v/>
      </c>
      <c r="O357" s="20" t="str">
        <f aca="false">IF($A357="","",INDEX(Profiles!$E$2:$E$100,MATCH($M357,Profiles!$A$2:$A$100,0)))</f>
        <v/>
      </c>
      <c r="P357" s="21" t="str">
        <f aca="false">IF($L357&lt;&gt;"Planned","",$K357*$D357*$N357*(1+$O357))</f>
        <v/>
      </c>
      <c r="Q357" s="21" t="str">
        <f aca="false">IF($L357&lt;&gt;"Planned","",$K357*$D357)</f>
        <v/>
      </c>
      <c r="R357" s="21" t="str">
        <f aca="false">IF($L357&lt;&gt;"Planned","",MAX(N($E357),$K357*$D357*$N357,$K357*N($G357)))</f>
        <v/>
      </c>
      <c r="S357" s="21" t="str">
        <f aca="false">IF($L357&lt;&gt;"Planned","",$P357)</f>
        <v/>
      </c>
      <c r="T357" s="21" t="str">
        <f aca="false">IF($L357&lt;&gt;"Planned","",$P357+$Q357)</f>
        <v/>
      </c>
      <c r="U357" s="21" t="str">
        <f aca="false">IF($L357&lt;&gt;"Planned","",$T357+$R357)</f>
        <v/>
      </c>
      <c r="V357" s="8" t="str">
        <f aca="false">IF($A357="","",SUMIFS('Open supply'!$C:$C,'Open supply'!$A:$A,$AF357))</f>
        <v/>
      </c>
      <c r="W357" s="8" t="str">
        <f aca="false">IF($A357="","",SUMIFS('Open supply'!$C:$C,'Open supply'!$A:$A,$AF357,'Open supply'!$B:$B,"&lt;"&amp;PlanDate))</f>
        <v/>
      </c>
      <c r="X357" s="8" t="str">
        <f aca="false">IF($A357="","",SUMIFS('Open demand'!$G:$G,'Open demand'!$A:$A,$AF357))</f>
        <v/>
      </c>
      <c r="Y357" s="8" t="str">
        <f aca="false">IF($L357&lt;&gt;"Planned","",N($H357)+$V357-$X357)</f>
        <v/>
      </c>
      <c r="Z357" s="19" t="str">
        <f aca="false">IF($L357&lt;&gt;"Planned","",IF($Y357&lt;=$S357,"Red",IF($Y357&lt;=$T357,"Yellow",IF($Y357&lt;=$U357,"Green","Above green"))))</f>
        <v/>
      </c>
      <c r="AA357" s="22" t="str">
        <f aca="false">IF(OR($L357&lt;&gt;"Planned",N($U357)&lt;=0),"",$Y357/$U357)</f>
        <v/>
      </c>
      <c r="AB357" s="8" t="str">
        <f aca="false">IF($L357&lt;&gt;"Planned","",IF($Y357&lt;=$T357,ROUNDUP(MAX($U357-$Y357,N($E357))/IF(N($F357)&gt;0,$F357,1)-0.000000001,0)*IF(N($F357)&gt;0,$F357,1),""))</f>
        <v/>
      </c>
      <c r="AC357" s="23" t="str">
        <f aca="false">IF(N($AB357)&gt;0,PlanDate+ROUNDUP($D357,0),"")</f>
        <v/>
      </c>
      <c r="AD357" s="19" t="str">
        <f aca="false">IF($L357&lt;&gt;"Planned","",IF(N($H357)&lt;=0,"Stockout",IF(N($H357)&lt;$S357*0.5,"Critical",IF(N($H357)&lt;=$S357,"Low",IF(N($H357)&gt;$U357,"Over top of green","OK")))))</f>
        <v/>
      </c>
      <c r="AE357" s="8" t="str">
        <f aca="false">IF($A357="","",$A357&amp;"")</f>
        <v/>
      </c>
      <c r="AF357" s="8" t="str">
        <f aca="false">IF($A357="","",SUBSTITUTE(SUBSTITUTE(SUBSTITUTE($A357&amp;"","~","~~"),"*","~*"),"?","~?"))</f>
        <v/>
      </c>
    </row>
    <row r="358" customFormat="false" ht="15" hidden="false" customHeight="false" outlineLevel="0" collapsed="false">
      <c r="A358" s="11"/>
      <c r="B358" s="11"/>
      <c r="C358" s="11"/>
      <c r="D358" s="16"/>
      <c r="E358" s="11"/>
      <c r="F358" s="11"/>
      <c r="G358" s="9"/>
      <c r="H358" s="11"/>
      <c r="I358" s="17"/>
      <c r="J358" s="18" t="str">
        <f aca="false">IF($A358="","",IF(COUNT(Usage!$C:$C)=0,"",MAX(0,SUMIFS(Usage!$C:$C,Usage!$A:$A,$AF358,Usage!$B:$B,"&gt;="&amp;(PlanDate-AduWindow),Usage!$B:$B,"&lt;"&amp;PlanDate))/AduWindow))</f>
        <v/>
      </c>
      <c r="K358" s="18" t="str">
        <f aca="false">IF($A358="","",IF(AND(ISNUMBER($I358),N($I358)&gt;=0),$I358,$J358))</f>
        <v/>
      </c>
      <c r="L358" s="19" t="str">
        <f aca="false">IF($A358="","",IF($K358="","Needs ADU",IF($K358&lt;=0,"No recent demand",IF(N($D358)&lt;=0,"Needs lead time","Planned"))))</f>
        <v/>
      </c>
      <c r="M358" s="8" t="str">
        <f aca="false">IF($A358="","",IF(ISNUMBER(MATCH($C358,Profiles!$A$2:$A$100,0)),$C358,DefaultProfile))</f>
        <v/>
      </c>
      <c r="N358" s="20" t="str">
        <f aca="false">IF($A358="","",INDEX(Profiles!$D$2:$D$100,MATCH($M358,Profiles!$A$2:$A$100,0)))</f>
        <v/>
      </c>
      <c r="O358" s="20" t="str">
        <f aca="false">IF($A358="","",INDEX(Profiles!$E$2:$E$100,MATCH($M358,Profiles!$A$2:$A$100,0)))</f>
        <v/>
      </c>
      <c r="P358" s="21" t="str">
        <f aca="false">IF($L358&lt;&gt;"Planned","",$K358*$D358*$N358*(1+$O358))</f>
        <v/>
      </c>
      <c r="Q358" s="21" t="str">
        <f aca="false">IF($L358&lt;&gt;"Planned","",$K358*$D358)</f>
        <v/>
      </c>
      <c r="R358" s="21" t="str">
        <f aca="false">IF($L358&lt;&gt;"Planned","",MAX(N($E358),$K358*$D358*$N358,$K358*N($G358)))</f>
        <v/>
      </c>
      <c r="S358" s="21" t="str">
        <f aca="false">IF($L358&lt;&gt;"Planned","",$P358)</f>
        <v/>
      </c>
      <c r="T358" s="21" t="str">
        <f aca="false">IF($L358&lt;&gt;"Planned","",$P358+$Q358)</f>
        <v/>
      </c>
      <c r="U358" s="21" t="str">
        <f aca="false">IF($L358&lt;&gt;"Planned","",$T358+$R358)</f>
        <v/>
      </c>
      <c r="V358" s="8" t="str">
        <f aca="false">IF($A358="","",SUMIFS('Open supply'!$C:$C,'Open supply'!$A:$A,$AF358))</f>
        <v/>
      </c>
      <c r="W358" s="8" t="str">
        <f aca="false">IF($A358="","",SUMIFS('Open supply'!$C:$C,'Open supply'!$A:$A,$AF358,'Open supply'!$B:$B,"&lt;"&amp;PlanDate))</f>
        <v/>
      </c>
      <c r="X358" s="8" t="str">
        <f aca="false">IF($A358="","",SUMIFS('Open demand'!$G:$G,'Open demand'!$A:$A,$AF358))</f>
        <v/>
      </c>
      <c r="Y358" s="8" t="str">
        <f aca="false">IF($L358&lt;&gt;"Planned","",N($H358)+$V358-$X358)</f>
        <v/>
      </c>
      <c r="Z358" s="19" t="str">
        <f aca="false">IF($L358&lt;&gt;"Planned","",IF($Y358&lt;=$S358,"Red",IF($Y358&lt;=$T358,"Yellow",IF($Y358&lt;=$U358,"Green","Above green"))))</f>
        <v/>
      </c>
      <c r="AA358" s="22" t="str">
        <f aca="false">IF(OR($L358&lt;&gt;"Planned",N($U358)&lt;=0),"",$Y358/$U358)</f>
        <v/>
      </c>
      <c r="AB358" s="8" t="str">
        <f aca="false">IF($L358&lt;&gt;"Planned","",IF($Y358&lt;=$T358,ROUNDUP(MAX($U358-$Y358,N($E358))/IF(N($F358)&gt;0,$F358,1)-0.000000001,0)*IF(N($F358)&gt;0,$F358,1),""))</f>
        <v/>
      </c>
      <c r="AC358" s="23" t="str">
        <f aca="false">IF(N($AB358)&gt;0,PlanDate+ROUNDUP($D358,0),"")</f>
        <v/>
      </c>
      <c r="AD358" s="19" t="str">
        <f aca="false">IF($L358&lt;&gt;"Planned","",IF(N($H358)&lt;=0,"Stockout",IF(N($H358)&lt;$S358*0.5,"Critical",IF(N($H358)&lt;=$S358,"Low",IF(N($H358)&gt;$U358,"Over top of green","OK")))))</f>
        <v/>
      </c>
      <c r="AE358" s="8" t="str">
        <f aca="false">IF($A358="","",$A358&amp;"")</f>
        <v/>
      </c>
      <c r="AF358" s="8" t="str">
        <f aca="false">IF($A358="","",SUBSTITUTE(SUBSTITUTE(SUBSTITUTE($A358&amp;"","~","~~"),"*","~*"),"?","~?"))</f>
        <v/>
      </c>
    </row>
    <row r="359" customFormat="false" ht="15" hidden="false" customHeight="false" outlineLevel="0" collapsed="false">
      <c r="A359" s="11"/>
      <c r="B359" s="11"/>
      <c r="C359" s="11"/>
      <c r="D359" s="16"/>
      <c r="E359" s="11"/>
      <c r="F359" s="11"/>
      <c r="G359" s="9"/>
      <c r="H359" s="11"/>
      <c r="I359" s="17"/>
      <c r="J359" s="18" t="str">
        <f aca="false">IF($A359="","",IF(COUNT(Usage!$C:$C)=0,"",MAX(0,SUMIFS(Usage!$C:$C,Usage!$A:$A,$AF359,Usage!$B:$B,"&gt;="&amp;(PlanDate-AduWindow),Usage!$B:$B,"&lt;"&amp;PlanDate))/AduWindow))</f>
        <v/>
      </c>
      <c r="K359" s="18" t="str">
        <f aca="false">IF($A359="","",IF(AND(ISNUMBER($I359),N($I359)&gt;=0),$I359,$J359))</f>
        <v/>
      </c>
      <c r="L359" s="19" t="str">
        <f aca="false">IF($A359="","",IF($K359="","Needs ADU",IF($K359&lt;=0,"No recent demand",IF(N($D359)&lt;=0,"Needs lead time","Planned"))))</f>
        <v/>
      </c>
      <c r="M359" s="8" t="str">
        <f aca="false">IF($A359="","",IF(ISNUMBER(MATCH($C359,Profiles!$A$2:$A$100,0)),$C359,DefaultProfile))</f>
        <v/>
      </c>
      <c r="N359" s="20" t="str">
        <f aca="false">IF($A359="","",INDEX(Profiles!$D$2:$D$100,MATCH($M359,Profiles!$A$2:$A$100,0)))</f>
        <v/>
      </c>
      <c r="O359" s="20" t="str">
        <f aca="false">IF($A359="","",INDEX(Profiles!$E$2:$E$100,MATCH($M359,Profiles!$A$2:$A$100,0)))</f>
        <v/>
      </c>
      <c r="P359" s="21" t="str">
        <f aca="false">IF($L359&lt;&gt;"Planned","",$K359*$D359*$N359*(1+$O359))</f>
        <v/>
      </c>
      <c r="Q359" s="21" t="str">
        <f aca="false">IF($L359&lt;&gt;"Planned","",$K359*$D359)</f>
        <v/>
      </c>
      <c r="R359" s="21" t="str">
        <f aca="false">IF($L359&lt;&gt;"Planned","",MAX(N($E359),$K359*$D359*$N359,$K359*N($G359)))</f>
        <v/>
      </c>
      <c r="S359" s="21" t="str">
        <f aca="false">IF($L359&lt;&gt;"Planned","",$P359)</f>
        <v/>
      </c>
      <c r="T359" s="21" t="str">
        <f aca="false">IF($L359&lt;&gt;"Planned","",$P359+$Q359)</f>
        <v/>
      </c>
      <c r="U359" s="21" t="str">
        <f aca="false">IF($L359&lt;&gt;"Planned","",$T359+$R359)</f>
        <v/>
      </c>
      <c r="V359" s="8" t="str">
        <f aca="false">IF($A359="","",SUMIFS('Open supply'!$C:$C,'Open supply'!$A:$A,$AF359))</f>
        <v/>
      </c>
      <c r="W359" s="8" t="str">
        <f aca="false">IF($A359="","",SUMIFS('Open supply'!$C:$C,'Open supply'!$A:$A,$AF359,'Open supply'!$B:$B,"&lt;"&amp;PlanDate))</f>
        <v/>
      </c>
      <c r="X359" s="8" t="str">
        <f aca="false">IF($A359="","",SUMIFS('Open demand'!$G:$G,'Open demand'!$A:$A,$AF359))</f>
        <v/>
      </c>
      <c r="Y359" s="8" t="str">
        <f aca="false">IF($L359&lt;&gt;"Planned","",N($H359)+$V359-$X359)</f>
        <v/>
      </c>
      <c r="Z359" s="19" t="str">
        <f aca="false">IF($L359&lt;&gt;"Planned","",IF($Y359&lt;=$S359,"Red",IF($Y359&lt;=$T359,"Yellow",IF($Y359&lt;=$U359,"Green","Above green"))))</f>
        <v/>
      </c>
      <c r="AA359" s="22" t="str">
        <f aca="false">IF(OR($L359&lt;&gt;"Planned",N($U359)&lt;=0),"",$Y359/$U359)</f>
        <v/>
      </c>
      <c r="AB359" s="8" t="str">
        <f aca="false">IF($L359&lt;&gt;"Planned","",IF($Y359&lt;=$T359,ROUNDUP(MAX($U359-$Y359,N($E359))/IF(N($F359)&gt;0,$F359,1)-0.000000001,0)*IF(N($F359)&gt;0,$F359,1),""))</f>
        <v/>
      </c>
      <c r="AC359" s="23" t="str">
        <f aca="false">IF(N($AB359)&gt;0,PlanDate+ROUNDUP($D359,0),"")</f>
        <v/>
      </c>
      <c r="AD359" s="19" t="str">
        <f aca="false">IF($L359&lt;&gt;"Planned","",IF(N($H359)&lt;=0,"Stockout",IF(N($H359)&lt;$S359*0.5,"Critical",IF(N($H359)&lt;=$S359,"Low",IF(N($H359)&gt;$U359,"Over top of green","OK")))))</f>
        <v/>
      </c>
      <c r="AE359" s="8" t="str">
        <f aca="false">IF($A359="","",$A359&amp;"")</f>
        <v/>
      </c>
      <c r="AF359" s="8" t="str">
        <f aca="false">IF($A359="","",SUBSTITUTE(SUBSTITUTE(SUBSTITUTE($A359&amp;"","~","~~"),"*","~*"),"?","~?"))</f>
        <v/>
      </c>
    </row>
    <row r="360" customFormat="false" ht="15" hidden="false" customHeight="false" outlineLevel="0" collapsed="false">
      <c r="A360" s="11"/>
      <c r="B360" s="11"/>
      <c r="C360" s="11"/>
      <c r="D360" s="16"/>
      <c r="E360" s="11"/>
      <c r="F360" s="11"/>
      <c r="G360" s="9"/>
      <c r="H360" s="11"/>
      <c r="I360" s="17"/>
      <c r="J360" s="18" t="str">
        <f aca="false">IF($A360="","",IF(COUNT(Usage!$C:$C)=0,"",MAX(0,SUMIFS(Usage!$C:$C,Usage!$A:$A,$AF360,Usage!$B:$B,"&gt;="&amp;(PlanDate-AduWindow),Usage!$B:$B,"&lt;"&amp;PlanDate))/AduWindow))</f>
        <v/>
      </c>
      <c r="K360" s="18" t="str">
        <f aca="false">IF($A360="","",IF(AND(ISNUMBER($I360),N($I360)&gt;=0),$I360,$J360))</f>
        <v/>
      </c>
      <c r="L360" s="19" t="str">
        <f aca="false">IF($A360="","",IF($K360="","Needs ADU",IF($K360&lt;=0,"No recent demand",IF(N($D360)&lt;=0,"Needs lead time","Planned"))))</f>
        <v/>
      </c>
      <c r="M360" s="8" t="str">
        <f aca="false">IF($A360="","",IF(ISNUMBER(MATCH($C360,Profiles!$A$2:$A$100,0)),$C360,DefaultProfile))</f>
        <v/>
      </c>
      <c r="N360" s="20" t="str">
        <f aca="false">IF($A360="","",INDEX(Profiles!$D$2:$D$100,MATCH($M360,Profiles!$A$2:$A$100,0)))</f>
        <v/>
      </c>
      <c r="O360" s="20" t="str">
        <f aca="false">IF($A360="","",INDEX(Profiles!$E$2:$E$100,MATCH($M360,Profiles!$A$2:$A$100,0)))</f>
        <v/>
      </c>
      <c r="P360" s="21" t="str">
        <f aca="false">IF($L360&lt;&gt;"Planned","",$K360*$D360*$N360*(1+$O360))</f>
        <v/>
      </c>
      <c r="Q360" s="21" t="str">
        <f aca="false">IF($L360&lt;&gt;"Planned","",$K360*$D360)</f>
        <v/>
      </c>
      <c r="R360" s="21" t="str">
        <f aca="false">IF($L360&lt;&gt;"Planned","",MAX(N($E360),$K360*$D360*$N360,$K360*N($G360)))</f>
        <v/>
      </c>
      <c r="S360" s="21" t="str">
        <f aca="false">IF($L360&lt;&gt;"Planned","",$P360)</f>
        <v/>
      </c>
      <c r="T360" s="21" t="str">
        <f aca="false">IF($L360&lt;&gt;"Planned","",$P360+$Q360)</f>
        <v/>
      </c>
      <c r="U360" s="21" t="str">
        <f aca="false">IF($L360&lt;&gt;"Planned","",$T360+$R360)</f>
        <v/>
      </c>
      <c r="V360" s="8" t="str">
        <f aca="false">IF($A360="","",SUMIFS('Open supply'!$C:$C,'Open supply'!$A:$A,$AF360))</f>
        <v/>
      </c>
      <c r="W360" s="8" t="str">
        <f aca="false">IF($A360="","",SUMIFS('Open supply'!$C:$C,'Open supply'!$A:$A,$AF360,'Open supply'!$B:$B,"&lt;"&amp;PlanDate))</f>
        <v/>
      </c>
      <c r="X360" s="8" t="str">
        <f aca="false">IF($A360="","",SUMIFS('Open demand'!$G:$G,'Open demand'!$A:$A,$AF360))</f>
        <v/>
      </c>
      <c r="Y360" s="8" t="str">
        <f aca="false">IF($L360&lt;&gt;"Planned","",N($H360)+$V360-$X360)</f>
        <v/>
      </c>
      <c r="Z360" s="19" t="str">
        <f aca="false">IF($L360&lt;&gt;"Planned","",IF($Y360&lt;=$S360,"Red",IF($Y360&lt;=$T360,"Yellow",IF($Y360&lt;=$U360,"Green","Above green"))))</f>
        <v/>
      </c>
      <c r="AA360" s="22" t="str">
        <f aca="false">IF(OR($L360&lt;&gt;"Planned",N($U360)&lt;=0),"",$Y360/$U360)</f>
        <v/>
      </c>
      <c r="AB360" s="8" t="str">
        <f aca="false">IF($L360&lt;&gt;"Planned","",IF($Y360&lt;=$T360,ROUNDUP(MAX($U360-$Y360,N($E360))/IF(N($F360)&gt;0,$F360,1)-0.000000001,0)*IF(N($F360)&gt;0,$F360,1),""))</f>
        <v/>
      </c>
      <c r="AC360" s="23" t="str">
        <f aca="false">IF(N($AB360)&gt;0,PlanDate+ROUNDUP($D360,0),"")</f>
        <v/>
      </c>
      <c r="AD360" s="19" t="str">
        <f aca="false">IF($L360&lt;&gt;"Planned","",IF(N($H360)&lt;=0,"Stockout",IF(N($H360)&lt;$S360*0.5,"Critical",IF(N($H360)&lt;=$S360,"Low",IF(N($H360)&gt;$U360,"Over top of green","OK")))))</f>
        <v/>
      </c>
      <c r="AE360" s="8" t="str">
        <f aca="false">IF($A360="","",$A360&amp;"")</f>
        <v/>
      </c>
      <c r="AF360" s="8" t="str">
        <f aca="false">IF($A360="","",SUBSTITUTE(SUBSTITUTE(SUBSTITUTE($A360&amp;"","~","~~"),"*","~*"),"?","~?"))</f>
        <v/>
      </c>
    </row>
    <row r="361" customFormat="false" ht="15" hidden="false" customHeight="false" outlineLevel="0" collapsed="false">
      <c r="A361" s="11"/>
      <c r="B361" s="11"/>
      <c r="C361" s="11"/>
      <c r="D361" s="16"/>
      <c r="E361" s="11"/>
      <c r="F361" s="11"/>
      <c r="G361" s="9"/>
      <c r="H361" s="11"/>
      <c r="I361" s="17"/>
      <c r="J361" s="18" t="str">
        <f aca="false">IF($A361="","",IF(COUNT(Usage!$C:$C)=0,"",MAX(0,SUMIFS(Usage!$C:$C,Usage!$A:$A,$AF361,Usage!$B:$B,"&gt;="&amp;(PlanDate-AduWindow),Usage!$B:$B,"&lt;"&amp;PlanDate))/AduWindow))</f>
        <v/>
      </c>
      <c r="K361" s="18" t="str">
        <f aca="false">IF($A361="","",IF(AND(ISNUMBER($I361),N($I361)&gt;=0),$I361,$J361))</f>
        <v/>
      </c>
      <c r="L361" s="19" t="str">
        <f aca="false">IF($A361="","",IF($K361="","Needs ADU",IF($K361&lt;=0,"No recent demand",IF(N($D361)&lt;=0,"Needs lead time","Planned"))))</f>
        <v/>
      </c>
      <c r="M361" s="8" t="str">
        <f aca="false">IF($A361="","",IF(ISNUMBER(MATCH($C361,Profiles!$A$2:$A$100,0)),$C361,DefaultProfile))</f>
        <v/>
      </c>
      <c r="N361" s="20" t="str">
        <f aca="false">IF($A361="","",INDEX(Profiles!$D$2:$D$100,MATCH($M361,Profiles!$A$2:$A$100,0)))</f>
        <v/>
      </c>
      <c r="O361" s="20" t="str">
        <f aca="false">IF($A361="","",INDEX(Profiles!$E$2:$E$100,MATCH($M361,Profiles!$A$2:$A$100,0)))</f>
        <v/>
      </c>
      <c r="P361" s="21" t="str">
        <f aca="false">IF($L361&lt;&gt;"Planned","",$K361*$D361*$N361*(1+$O361))</f>
        <v/>
      </c>
      <c r="Q361" s="21" t="str">
        <f aca="false">IF($L361&lt;&gt;"Planned","",$K361*$D361)</f>
        <v/>
      </c>
      <c r="R361" s="21" t="str">
        <f aca="false">IF($L361&lt;&gt;"Planned","",MAX(N($E361),$K361*$D361*$N361,$K361*N($G361)))</f>
        <v/>
      </c>
      <c r="S361" s="21" t="str">
        <f aca="false">IF($L361&lt;&gt;"Planned","",$P361)</f>
        <v/>
      </c>
      <c r="T361" s="21" t="str">
        <f aca="false">IF($L361&lt;&gt;"Planned","",$P361+$Q361)</f>
        <v/>
      </c>
      <c r="U361" s="21" t="str">
        <f aca="false">IF($L361&lt;&gt;"Planned","",$T361+$R361)</f>
        <v/>
      </c>
      <c r="V361" s="8" t="str">
        <f aca="false">IF($A361="","",SUMIFS('Open supply'!$C:$C,'Open supply'!$A:$A,$AF361))</f>
        <v/>
      </c>
      <c r="W361" s="8" t="str">
        <f aca="false">IF($A361="","",SUMIFS('Open supply'!$C:$C,'Open supply'!$A:$A,$AF361,'Open supply'!$B:$B,"&lt;"&amp;PlanDate))</f>
        <v/>
      </c>
      <c r="X361" s="8" t="str">
        <f aca="false">IF($A361="","",SUMIFS('Open demand'!$G:$G,'Open demand'!$A:$A,$AF361))</f>
        <v/>
      </c>
      <c r="Y361" s="8" t="str">
        <f aca="false">IF($L361&lt;&gt;"Planned","",N($H361)+$V361-$X361)</f>
        <v/>
      </c>
      <c r="Z361" s="19" t="str">
        <f aca="false">IF($L361&lt;&gt;"Planned","",IF($Y361&lt;=$S361,"Red",IF($Y361&lt;=$T361,"Yellow",IF($Y361&lt;=$U361,"Green","Above green"))))</f>
        <v/>
      </c>
      <c r="AA361" s="22" t="str">
        <f aca="false">IF(OR($L361&lt;&gt;"Planned",N($U361)&lt;=0),"",$Y361/$U361)</f>
        <v/>
      </c>
      <c r="AB361" s="8" t="str">
        <f aca="false">IF($L361&lt;&gt;"Planned","",IF($Y361&lt;=$T361,ROUNDUP(MAX($U361-$Y361,N($E361))/IF(N($F361)&gt;0,$F361,1)-0.000000001,0)*IF(N($F361)&gt;0,$F361,1),""))</f>
        <v/>
      </c>
      <c r="AC361" s="23" t="str">
        <f aca="false">IF(N($AB361)&gt;0,PlanDate+ROUNDUP($D361,0),"")</f>
        <v/>
      </c>
      <c r="AD361" s="19" t="str">
        <f aca="false">IF($L361&lt;&gt;"Planned","",IF(N($H361)&lt;=0,"Stockout",IF(N($H361)&lt;$S361*0.5,"Critical",IF(N($H361)&lt;=$S361,"Low",IF(N($H361)&gt;$U361,"Over top of green","OK")))))</f>
        <v/>
      </c>
      <c r="AE361" s="8" t="str">
        <f aca="false">IF($A361="","",$A361&amp;"")</f>
        <v/>
      </c>
      <c r="AF361" s="8" t="str">
        <f aca="false">IF($A361="","",SUBSTITUTE(SUBSTITUTE(SUBSTITUTE($A361&amp;"","~","~~"),"*","~*"),"?","~?"))</f>
        <v/>
      </c>
    </row>
    <row r="362" customFormat="false" ht="15" hidden="false" customHeight="false" outlineLevel="0" collapsed="false">
      <c r="A362" s="11"/>
      <c r="B362" s="11"/>
      <c r="C362" s="11"/>
      <c r="D362" s="16"/>
      <c r="E362" s="11"/>
      <c r="F362" s="11"/>
      <c r="G362" s="9"/>
      <c r="H362" s="11"/>
      <c r="I362" s="17"/>
      <c r="J362" s="18" t="str">
        <f aca="false">IF($A362="","",IF(COUNT(Usage!$C:$C)=0,"",MAX(0,SUMIFS(Usage!$C:$C,Usage!$A:$A,$AF362,Usage!$B:$B,"&gt;="&amp;(PlanDate-AduWindow),Usage!$B:$B,"&lt;"&amp;PlanDate))/AduWindow))</f>
        <v/>
      </c>
      <c r="K362" s="18" t="str">
        <f aca="false">IF($A362="","",IF(AND(ISNUMBER($I362),N($I362)&gt;=0),$I362,$J362))</f>
        <v/>
      </c>
      <c r="L362" s="19" t="str">
        <f aca="false">IF($A362="","",IF($K362="","Needs ADU",IF($K362&lt;=0,"No recent demand",IF(N($D362)&lt;=0,"Needs lead time","Planned"))))</f>
        <v/>
      </c>
      <c r="M362" s="8" t="str">
        <f aca="false">IF($A362="","",IF(ISNUMBER(MATCH($C362,Profiles!$A$2:$A$100,0)),$C362,DefaultProfile))</f>
        <v/>
      </c>
      <c r="N362" s="20" t="str">
        <f aca="false">IF($A362="","",INDEX(Profiles!$D$2:$D$100,MATCH($M362,Profiles!$A$2:$A$100,0)))</f>
        <v/>
      </c>
      <c r="O362" s="20" t="str">
        <f aca="false">IF($A362="","",INDEX(Profiles!$E$2:$E$100,MATCH($M362,Profiles!$A$2:$A$100,0)))</f>
        <v/>
      </c>
      <c r="P362" s="21" t="str">
        <f aca="false">IF($L362&lt;&gt;"Planned","",$K362*$D362*$N362*(1+$O362))</f>
        <v/>
      </c>
      <c r="Q362" s="21" t="str">
        <f aca="false">IF($L362&lt;&gt;"Planned","",$K362*$D362)</f>
        <v/>
      </c>
      <c r="R362" s="21" t="str">
        <f aca="false">IF($L362&lt;&gt;"Planned","",MAX(N($E362),$K362*$D362*$N362,$K362*N($G362)))</f>
        <v/>
      </c>
      <c r="S362" s="21" t="str">
        <f aca="false">IF($L362&lt;&gt;"Planned","",$P362)</f>
        <v/>
      </c>
      <c r="T362" s="21" t="str">
        <f aca="false">IF($L362&lt;&gt;"Planned","",$P362+$Q362)</f>
        <v/>
      </c>
      <c r="U362" s="21" t="str">
        <f aca="false">IF($L362&lt;&gt;"Planned","",$T362+$R362)</f>
        <v/>
      </c>
      <c r="V362" s="8" t="str">
        <f aca="false">IF($A362="","",SUMIFS('Open supply'!$C:$C,'Open supply'!$A:$A,$AF362))</f>
        <v/>
      </c>
      <c r="W362" s="8" t="str">
        <f aca="false">IF($A362="","",SUMIFS('Open supply'!$C:$C,'Open supply'!$A:$A,$AF362,'Open supply'!$B:$B,"&lt;"&amp;PlanDate))</f>
        <v/>
      </c>
      <c r="X362" s="8" t="str">
        <f aca="false">IF($A362="","",SUMIFS('Open demand'!$G:$G,'Open demand'!$A:$A,$AF362))</f>
        <v/>
      </c>
      <c r="Y362" s="8" t="str">
        <f aca="false">IF($L362&lt;&gt;"Planned","",N($H362)+$V362-$X362)</f>
        <v/>
      </c>
      <c r="Z362" s="19" t="str">
        <f aca="false">IF($L362&lt;&gt;"Planned","",IF($Y362&lt;=$S362,"Red",IF($Y362&lt;=$T362,"Yellow",IF($Y362&lt;=$U362,"Green","Above green"))))</f>
        <v/>
      </c>
      <c r="AA362" s="22" t="str">
        <f aca="false">IF(OR($L362&lt;&gt;"Planned",N($U362)&lt;=0),"",$Y362/$U362)</f>
        <v/>
      </c>
      <c r="AB362" s="8" t="str">
        <f aca="false">IF($L362&lt;&gt;"Planned","",IF($Y362&lt;=$T362,ROUNDUP(MAX($U362-$Y362,N($E362))/IF(N($F362)&gt;0,$F362,1)-0.000000001,0)*IF(N($F362)&gt;0,$F362,1),""))</f>
        <v/>
      </c>
      <c r="AC362" s="23" t="str">
        <f aca="false">IF(N($AB362)&gt;0,PlanDate+ROUNDUP($D362,0),"")</f>
        <v/>
      </c>
      <c r="AD362" s="19" t="str">
        <f aca="false">IF($L362&lt;&gt;"Planned","",IF(N($H362)&lt;=0,"Stockout",IF(N($H362)&lt;$S362*0.5,"Critical",IF(N($H362)&lt;=$S362,"Low",IF(N($H362)&gt;$U362,"Over top of green","OK")))))</f>
        <v/>
      </c>
      <c r="AE362" s="8" t="str">
        <f aca="false">IF($A362="","",$A362&amp;"")</f>
        <v/>
      </c>
      <c r="AF362" s="8" t="str">
        <f aca="false">IF($A362="","",SUBSTITUTE(SUBSTITUTE(SUBSTITUTE($A362&amp;"","~","~~"),"*","~*"),"?","~?"))</f>
        <v/>
      </c>
    </row>
    <row r="363" customFormat="false" ht="15" hidden="false" customHeight="false" outlineLevel="0" collapsed="false">
      <c r="A363" s="11"/>
      <c r="B363" s="11"/>
      <c r="C363" s="11"/>
      <c r="D363" s="16"/>
      <c r="E363" s="11"/>
      <c r="F363" s="11"/>
      <c r="G363" s="9"/>
      <c r="H363" s="11"/>
      <c r="I363" s="17"/>
      <c r="J363" s="18" t="str">
        <f aca="false">IF($A363="","",IF(COUNT(Usage!$C:$C)=0,"",MAX(0,SUMIFS(Usage!$C:$C,Usage!$A:$A,$AF363,Usage!$B:$B,"&gt;="&amp;(PlanDate-AduWindow),Usage!$B:$B,"&lt;"&amp;PlanDate))/AduWindow))</f>
        <v/>
      </c>
      <c r="K363" s="18" t="str">
        <f aca="false">IF($A363="","",IF(AND(ISNUMBER($I363),N($I363)&gt;=0),$I363,$J363))</f>
        <v/>
      </c>
      <c r="L363" s="19" t="str">
        <f aca="false">IF($A363="","",IF($K363="","Needs ADU",IF($K363&lt;=0,"No recent demand",IF(N($D363)&lt;=0,"Needs lead time","Planned"))))</f>
        <v/>
      </c>
      <c r="M363" s="8" t="str">
        <f aca="false">IF($A363="","",IF(ISNUMBER(MATCH($C363,Profiles!$A$2:$A$100,0)),$C363,DefaultProfile))</f>
        <v/>
      </c>
      <c r="N363" s="20" t="str">
        <f aca="false">IF($A363="","",INDEX(Profiles!$D$2:$D$100,MATCH($M363,Profiles!$A$2:$A$100,0)))</f>
        <v/>
      </c>
      <c r="O363" s="20" t="str">
        <f aca="false">IF($A363="","",INDEX(Profiles!$E$2:$E$100,MATCH($M363,Profiles!$A$2:$A$100,0)))</f>
        <v/>
      </c>
      <c r="P363" s="21" t="str">
        <f aca="false">IF($L363&lt;&gt;"Planned","",$K363*$D363*$N363*(1+$O363))</f>
        <v/>
      </c>
      <c r="Q363" s="21" t="str">
        <f aca="false">IF($L363&lt;&gt;"Planned","",$K363*$D363)</f>
        <v/>
      </c>
      <c r="R363" s="21" t="str">
        <f aca="false">IF($L363&lt;&gt;"Planned","",MAX(N($E363),$K363*$D363*$N363,$K363*N($G363)))</f>
        <v/>
      </c>
      <c r="S363" s="21" t="str">
        <f aca="false">IF($L363&lt;&gt;"Planned","",$P363)</f>
        <v/>
      </c>
      <c r="T363" s="21" t="str">
        <f aca="false">IF($L363&lt;&gt;"Planned","",$P363+$Q363)</f>
        <v/>
      </c>
      <c r="U363" s="21" t="str">
        <f aca="false">IF($L363&lt;&gt;"Planned","",$T363+$R363)</f>
        <v/>
      </c>
      <c r="V363" s="8" t="str">
        <f aca="false">IF($A363="","",SUMIFS('Open supply'!$C:$C,'Open supply'!$A:$A,$AF363))</f>
        <v/>
      </c>
      <c r="W363" s="8" t="str">
        <f aca="false">IF($A363="","",SUMIFS('Open supply'!$C:$C,'Open supply'!$A:$A,$AF363,'Open supply'!$B:$B,"&lt;"&amp;PlanDate))</f>
        <v/>
      </c>
      <c r="X363" s="8" t="str">
        <f aca="false">IF($A363="","",SUMIFS('Open demand'!$G:$G,'Open demand'!$A:$A,$AF363))</f>
        <v/>
      </c>
      <c r="Y363" s="8" t="str">
        <f aca="false">IF($L363&lt;&gt;"Planned","",N($H363)+$V363-$X363)</f>
        <v/>
      </c>
      <c r="Z363" s="19" t="str">
        <f aca="false">IF($L363&lt;&gt;"Planned","",IF($Y363&lt;=$S363,"Red",IF($Y363&lt;=$T363,"Yellow",IF($Y363&lt;=$U363,"Green","Above green"))))</f>
        <v/>
      </c>
      <c r="AA363" s="22" t="str">
        <f aca="false">IF(OR($L363&lt;&gt;"Planned",N($U363)&lt;=0),"",$Y363/$U363)</f>
        <v/>
      </c>
      <c r="AB363" s="8" t="str">
        <f aca="false">IF($L363&lt;&gt;"Planned","",IF($Y363&lt;=$T363,ROUNDUP(MAX($U363-$Y363,N($E363))/IF(N($F363)&gt;0,$F363,1)-0.000000001,0)*IF(N($F363)&gt;0,$F363,1),""))</f>
        <v/>
      </c>
      <c r="AC363" s="23" t="str">
        <f aca="false">IF(N($AB363)&gt;0,PlanDate+ROUNDUP($D363,0),"")</f>
        <v/>
      </c>
      <c r="AD363" s="19" t="str">
        <f aca="false">IF($L363&lt;&gt;"Planned","",IF(N($H363)&lt;=0,"Stockout",IF(N($H363)&lt;$S363*0.5,"Critical",IF(N($H363)&lt;=$S363,"Low",IF(N($H363)&gt;$U363,"Over top of green","OK")))))</f>
        <v/>
      </c>
      <c r="AE363" s="8" t="str">
        <f aca="false">IF($A363="","",$A363&amp;"")</f>
        <v/>
      </c>
      <c r="AF363" s="8" t="str">
        <f aca="false">IF($A363="","",SUBSTITUTE(SUBSTITUTE(SUBSTITUTE($A363&amp;"","~","~~"),"*","~*"),"?","~?"))</f>
        <v/>
      </c>
    </row>
    <row r="364" customFormat="false" ht="15" hidden="false" customHeight="false" outlineLevel="0" collapsed="false">
      <c r="A364" s="11"/>
      <c r="B364" s="11"/>
      <c r="C364" s="11"/>
      <c r="D364" s="16"/>
      <c r="E364" s="11"/>
      <c r="F364" s="11"/>
      <c r="G364" s="9"/>
      <c r="H364" s="11"/>
      <c r="I364" s="17"/>
      <c r="J364" s="18" t="str">
        <f aca="false">IF($A364="","",IF(COUNT(Usage!$C:$C)=0,"",MAX(0,SUMIFS(Usage!$C:$C,Usage!$A:$A,$AF364,Usage!$B:$B,"&gt;="&amp;(PlanDate-AduWindow),Usage!$B:$B,"&lt;"&amp;PlanDate))/AduWindow))</f>
        <v/>
      </c>
      <c r="K364" s="18" t="str">
        <f aca="false">IF($A364="","",IF(AND(ISNUMBER($I364),N($I364)&gt;=0),$I364,$J364))</f>
        <v/>
      </c>
      <c r="L364" s="19" t="str">
        <f aca="false">IF($A364="","",IF($K364="","Needs ADU",IF($K364&lt;=0,"No recent demand",IF(N($D364)&lt;=0,"Needs lead time","Planned"))))</f>
        <v/>
      </c>
      <c r="M364" s="8" t="str">
        <f aca="false">IF($A364="","",IF(ISNUMBER(MATCH($C364,Profiles!$A$2:$A$100,0)),$C364,DefaultProfile))</f>
        <v/>
      </c>
      <c r="N364" s="20" t="str">
        <f aca="false">IF($A364="","",INDEX(Profiles!$D$2:$D$100,MATCH($M364,Profiles!$A$2:$A$100,0)))</f>
        <v/>
      </c>
      <c r="O364" s="20" t="str">
        <f aca="false">IF($A364="","",INDEX(Profiles!$E$2:$E$100,MATCH($M364,Profiles!$A$2:$A$100,0)))</f>
        <v/>
      </c>
      <c r="P364" s="21" t="str">
        <f aca="false">IF($L364&lt;&gt;"Planned","",$K364*$D364*$N364*(1+$O364))</f>
        <v/>
      </c>
      <c r="Q364" s="21" t="str">
        <f aca="false">IF($L364&lt;&gt;"Planned","",$K364*$D364)</f>
        <v/>
      </c>
      <c r="R364" s="21" t="str">
        <f aca="false">IF($L364&lt;&gt;"Planned","",MAX(N($E364),$K364*$D364*$N364,$K364*N($G364)))</f>
        <v/>
      </c>
      <c r="S364" s="21" t="str">
        <f aca="false">IF($L364&lt;&gt;"Planned","",$P364)</f>
        <v/>
      </c>
      <c r="T364" s="21" t="str">
        <f aca="false">IF($L364&lt;&gt;"Planned","",$P364+$Q364)</f>
        <v/>
      </c>
      <c r="U364" s="21" t="str">
        <f aca="false">IF($L364&lt;&gt;"Planned","",$T364+$R364)</f>
        <v/>
      </c>
      <c r="V364" s="8" t="str">
        <f aca="false">IF($A364="","",SUMIFS('Open supply'!$C:$C,'Open supply'!$A:$A,$AF364))</f>
        <v/>
      </c>
      <c r="W364" s="8" t="str">
        <f aca="false">IF($A364="","",SUMIFS('Open supply'!$C:$C,'Open supply'!$A:$A,$AF364,'Open supply'!$B:$B,"&lt;"&amp;PlanDate))</f>
        <v/>
      </c>
      <c r="X364" s="8" t="str">
        <f aca="false">IF($A364="","",SUMIFS('Open demand'!$G:$G,'Open demand'!$A:$A,$AF364))</f>
        <v/>
      </c>
      <c r="Y364" s="8" t="str">
        <f aca="false">IF($L364&lt;&gt;"Planned","",N($H364)+$V364-$X364)</f>
        <v/>
      </c>
      <c r="Z364" s="19" t="str">
        <f aca="false">IF($L364&lt;&gt;"Planned","",IF($Y364&lt;=$S364,"Red",IF($Y364&lt;=$T364,"Yellow",IF($Y364&lt;=$U364,"Green","Above green"))))</f>
        <v/>
      </c>
      <c r="AA364" s="22" t="str">
        <f aca="false">IF(OR($L364&lt;&gt;"Planned",N($U364)&lt;=0),"",$Y364/$U364)</f>
        <v/>
      </c>
      <c r="AB364" s="8" t="str">
        <f aca="false">IF($L364&lt;&gt;"Planned","",IF($Y364&lt;=$T364,ROUNDUP(MAX($U364-$Y364,N($E364))/IF(N($F364)&gt;0,$F364,1)-0.000000001,0)*IF(N($F364)&gt;0,$F364,1),""))</f>
        <v/>
      </c>
      <c r="AC364" s="23" t="str">
        <f aca="false">IF(N($AB364)&gt;0,PlanDate+ROUNDUP($D364,0),"")</f>
        <v/>
      </c>
      <c r="AD364" s="19" t="str">
        <f aca="false">IF($L364&lt;&gt;"Planned","",IF(N($H364)&lt;=0,"Stockout",IF(N($H364)&lt;$S364*0.5,"Critical",IF(N($H364)&lt;=$S364,"Low",IF(N($H364)&gt;$U364,"Over top of green","OK")))))</f>
        <v/>
      </c>
      <c r="AE364" s="8" t="str">
        <f aca="false">IF($A364="","",$A364&amp;"")</f>
        <v/>
      </c>
      <c r="AF364" s="8" t="str">
        <f aca="false">IF($A364="","",SUBSTITUTE(SUBSTITUTE(SUBSTITUTE($A364&amp;"","~","~~"),"*","~*"),"?","~?"))</f>
        <v/>
      </c>
    </row>
    <row r="365" customFormat="false" ht="15" hidden="false" customHeight="false" outlineLevel="0" collapsed="false">
      <c r="A365" s="11"/>
      <c r="B365" s="11"/>
      <c r="C365" s="11"/>
      <c r="D365" s="16"/>
      <c r="E365" s="11"/>
      <c r="F365" s="11"/>
      <c r="G365" s="9"/>
      <c r="H365" s="11"/>
      <c r="I365" s="17"/>
      <c r="J365" s="18" t="str">
        <f aca="false">IF($A365="","",IF(COUNT(Usage!$C:$C)=0,"",MAX(0,SUMIFS(Usage!$C:$C,Usage!$A:$A,$AF365,Usage!$B:$B,"&gt;="&amp;(PlanDate-AduWindow),Usage!$B:$B,"&lt;"&amp;PlanDate))/AduWindow))</f>
        <v/>
      </c>
      <c r="K365" s="18" t="str">
        <f aca="false">IF($A365="","",IF(AND(ISNUMBER($I365),N($I365)&gt;=0),$I365,$J365))</f>
        <v/>
      </c>
      <c r="L365" s="19" t="str">
        <f aca="false">IF($A365="","",IF($K365="","Needs ADU",IF($K365&lt;=0,"No recent demand",IF(N($D365)&lt;=0,"Needs lead time","Planned"))))</f>
        <v/>
      </c>
      <c r="M365" s="8" t="str">
        <f aca="false">IF($A365="","",IF(ISNUMBER(MATCH($C365,Profiles!$A$2:$A$100,0)),$C365,DefaultProfile))</f>
        <v/>
      </c>
      <c r="N365" s="20" t="str">
        <f aca="false">IF($A365="","",INDEX(Profiles!$D$2:$D$100,MATCH($M365,Profiles!$A$2:$A$100,0)))</f>
        <v/>
      </c>
      <c r="O365" s="20" t="str">
        <f aca="false">IF($A365="","",INDEX(Profiles!$E$2:$E$100,MATCH($M365,Profiles!$A$2:$A$100,0)))</f>
        <v/>
      </c>
      <c r="P365" s="21" t="str">
        <f aca="false">IF($L365&lt;&gt;"Planned","",$K365*$D365*$N365*(1+$O365))</f>
        <v/>
      </c>
      <c r="Q365" s="21" t="str">
        <f aca="false">IF($L365&lt;&gt;"Planned","",$K365*$D365)</f>
        <v/>
      </c>
      <c r="R365" s="21" t="str">
        <f aca="false">IF($L365&lt;&gt;"Planned","",MAX(N($E365),$K365*$D365*$N365,$K365*N($G365)))</f>
        <v/>
      </c>
      <c r="S365" s="21" t="str">
        <f aca="false">IF($L365&lt;&gt;"Planned","",$P365)</f>
        <v/>
      </c>
      <c r="T365" s="21" t="str">
        <f aca="false">IF($L365&lt;&gt;"Planned","",$P365+$Q365)</f>
        <v/>
      </c>
      <c r="U365" s="21" t="str">
        <f aca="false">IF($L365&lt;&gt;"Planned","",$T365+$R365)</f>
        <v/>
      </c>
      <c r="V365" s="8" t="str">
        <f aca="false">IF($A365="","",SUMIFS('Open supply'!$C:$C,'Open supply'!$A:$A,$AF365))</f>
        <v/>
      </c>
      <c r="W365" s="8" t="str">
        <f aca="false">IF($A365="","",SUMIFS('Open supply'!$C:$C,'Open supply'!$A:$A,$AF365,'Open supply'!$B:$B,"&lt;"&amp;PlanDate))</f>
        <v/>
      </c>
      <c r="X365" s="8" t="str">
        <f aca="false">IF($A365="","",SUMIFS('Open demand'!$G:$G,'Open demand'!$A:$A,$AF365))</f>
        <v/>
      </c>
      <c r="Y365" s="8" t="str">
        <f aca="false">IF($L365&lt;&gt;"Planned","",N($H365)+$V365-$X365)</f>
        <v/>
      </c>
      <c r="Z365" s="19" t="str">
        <f aca="false">IF($L365&lt;&gt;"Planned","",IF($Y365&lt;=$S365,"Red",IF($Y365&lt;=$T365,"Yellow",IF($Y365&lt;=$U365,"Green","Above green"))))</f>
        <v/>
      </c>
      <c r="AA365" s="22" t="str">
        <f aca="false">IF(OR($L365&lt;&gt;"Planned",N($U365)&lt;=0),"",$Y365/$U365)</f>
        <v/>
      </c>
      <c r="AB365" s="8" t="str">
        <f aca="false">IF($L365&lt;&gt;"Planned","",IF($Y365&lt;=$T365,ROUNDUP(MAX($U365-$Y365,N($E365))/IF(N($F365)&gt;0,$F365,1)-0.000000001,0)*IF(N($F365)&gt;0,$F365,1),""))</f>
        <v/>
      </c>
      <c r="AC365" s="23" t="str">
        <f aca="false">IF(N($AB365)&gt;0,PlanDate+ROUNDUP($D365,0),"")</f>
        <v/>
      </c>
      <c r="AD365" s="19" t="str">
        <f aca="false">IF($L365&lt;&gt;"Planned","",IF(N($H365)&lt;=0,"Stockout",IF(N($H365)&lt;$S365*0.5,"Critical",IF(N($H365)&lt;=$S365,"Low",IF(N($H365)&gt;$U365,"Over top of green","OK")))))</f>
        <v/>
      </c>
      <c r="AE365" s="8" t="str">
        <f aca="false">IF($A365="","",$A365&amp;"")</f>
        <v/>
      </c>
      <c r="AF365" s="8" t="str">
        <f aca="false">IF($A365="","",SUBSTITUTE(SUBSTITUTE(SUBSTITUTE($A365&amp;"","~","~~"),"*","~*"),"?","~?"))</f>
        <v/>
      </c>
    </row>
    <row r="366" customFormat="false" ht="15" hidden="false" customHeight="false" outlineLevel="0" collapsed="false">
      <c r="A366" s="11"/>
      <c r="B366" s="11"/>
      <c r="C366" s="11"/>
      <c r="D366" s="16"/>
      <c r="E366" s="11"/>
      <c r="F366" s="11"/>
      <c r="G366" s="9"/>
      <c r="H366" s="11"/>
      <c r="I366" s="17"/>
      <c r="J366" s="18" t="str">
        <f aca="false">IF($A366="","",IF(COUNT(Usage!$C:$C)=0,"",MAX(0,SUMIFS(Usage!$C:$C,Usage!$A:$A,$AF366,Usage!$B:$B,"&gt;="&amp;(PlanDate-AduWindow),Usage!$B:$B,"&lt;"&amp;PlanDate))/AduWindow))</f>
        <v/>
      </c>
      <c r="K366" s="18" t="str">
        <f aca="false">IF($A366="","",IF(AND(ISNUMBER($I366),N($I366)&gt;=0),$I366,$J366))</f>
        <v/>
      </c>
      <c r="L366" s="19" t="str">
        <f aca="false">IF($A366="","",IF($K366="","Needs ADU",IF($K366&lt;=0,"No recent demand",IF(N($D366)&lt;=0,"Needs lead time","Planned"))))</f>
        <v/>
      </c>
      <c r="M366" s="8" t="str">
        <f aca="false">IF($A366="","",IF(ISNUMBER(MATCH($C366,Profiles!$A$2:$A$100,0)),$C366,DefaultProfile))</f>
        <v/>
      </c>
      <c r="N366" s="20" t="str">
        <f aca="false">IF($A366="","",INDEX(Profiles!$D$2:$D$100,MATCH($M366,Profiles!$A$2:$A$100,0)))</f>
        <v/>
      </c>
      <c r="O366" s="20" t="str">
        <f aca="false">IF($A366="","",INDEX(Profiles!$E$2:$E$100,MATCH($M366,Profiles!$A$2:$A$100,0)))</f>
        <v/>
      </c>
      <c r="P366" s="21" t="str">
        <f aca="false">IF($L366&lt;&gt;"Planned","",$K366*$D366*$N366*(1+$O366))</f>
        <v/>
      </c>
      <c r="Q366" s="21" t="str">
        <f aca="false">IF($L366&lt;&gt;"Planned","",$K366*$D366)</f>
        <v/>
      </c>
      <c r="R366" s="21" t="str">
        <f aca="false">IF($L366&lt;&gt;"Planned","",MAX(N($E366),$K366*$D366*$N366,$K366*N($G366)))</f>
        <v/>
      </c>
      <c r="S366" s="21" t="str">
        <f aca="false">IF($L366&lt;&gt;"Planned","",$P366)</f>
        <v/>
      </c>
      <c r="T366" s="21" t="str">
        <f aca="false">IF($L366&lt;&gt;"Planned","",$P366+$Q366)</f>
        <v/>
      </c>
      <c r="U366" s="21" t="str">
        <f aca="false">IF($L366&lt;&gt;"Planned","",$T366+$R366)</f>
        <v/>
      </c>
      <c r="V366" s="8" t="str">
        <f aca="false">IF($A366="","",SUMIFS('Open supply'!$C:$C,'Open supply'!$A:$A,$AF366))</f>
        <v/>
      </c>
      <c r="W366" s="8" t="str">
        <f aca="false">IF($A366="","",SUMIFS('Open supply'!$C:$C,'Open supply'!$A:$A,$AF366,'Open supply'!$B:$B,"&lt;"&amp;PlanDate))</f>
        <v/>
      </c>
      <c r="X366" s="8" t="str">
        <f aca="false">IF($A366="","",SUMIFS('Open demand'!$G:$G,'Open demand'!$A:$A,$AF366))</f>
        <v/>
      </c>
      <c r="Y366" s="8" t="str">
        <f aca="false">IF($L366&lt;&gt;"Planned","",N($H366)+$V366-$X366)</f>
        <v/>
      </c>
      <c r="Z366" s="19" t="str">
        <f aca="false">IF($L366&lt;&gt;"Planned","",IF($Y366&lt;=$S366,"Red",IF($Y366&lt;=$T366,"Yellow",IF($Y366&lt;=$U366,"Green","Above green"))))</f>
        <v/>
      </c>
      <c r="AA366" s="22" t="str">
        <f aca="false">IF(OR($L366&lt;&gt;"Planned",N($U366)&lt;=0),"",$Y366/$U366)</f>
        <v/>
      </c>
      <c r="AB366" s="8" t="str">
        <f aca="false">IF($L366&lt;&gt;"Planned","",IF($Y366&lt;=$T366,ROUNDUP(MAX($U366-$Y366,N($E366))/IF(N($F366)&gt;0,$F366,1)-0.000000001,0)*IF(N($F366)&gt;0,$F366,1),""))</f>
        <v/>
      </c>
      <c r="AC366" s="23" t="str">
        <f aca="false">IF(N($AB366)&gt;0,PlanDate+ROUNDUP($D366,0),"")</f>
        <v/>
      </c>
      <c r="AD366" s="19" t="str">
        <f aca="false">IF($L366&lt;&gt;"Planned","",IF(N($H366)&lt;=0,"Stockout",IF(N($H366)&lt;$S366*0.5,"Critical",IF(N($H366)&lt;=$S366,"Low",IF(N($H366)&gt;$U366,"Over top of green","OK")))))</f>
        <v/>
      </c>
      <c r="AE366" s="8" t="str">
        <f aca="false">IF($A366="","",$A366&amp;"")</f>
        <v/>
      </c>
      <c r="AF366" s="8" t="str">
        <f aca="false">IF($A366="","",SUBSTITUTE(SUBSTITUTE(SUBSTITUTE($A366&amp;"","~","~~"),"*","~*"),"?","~?"))</f>
        <v/>
      </c>
    </row>
    <row r="367" customFormat="false" ht="15" hidden="false" customHeight="false" outlineLevel="0" collapsed="false">
      <c r="A367" s="11"/>
      <c r="B367" s="11"/>
      <c r="C367" s="11"/>
      <c r="D367" s="16"/>
      <c r="E367" s="11"/>
      <c r="F367" s="11"/>
      <c r="G367" s="9"/>
      <c r="H367" s="11"/>
      <c r="I367" s="17"/>
      <c r="J367" s="18" t="str">
        <f aca="false">IF($A367="","",IF(COUNT(Usage!$C:$C)=0,"",MAX(0,SUMIFS(Usage!$C:$C,Usage!$A:$A,$AF367,Usage!$B:$B,"&gt;="&amp;(PlanDate-AduWindow),Usage!$B:$B,"&lt;"&amp;PlanDate))/AduWindow))</f>
        <v/>
      </c>
      <c r="K367" s="18" t="str">
        <f aca="false">IF($A367="","",IF(AND(ISNUMBER($I367),N($I367)&gt;=0),$I367,$J367))</f>
        <v/>
      </c>
      <c r="L367" s="19" t="str">
        <f aca="false">IF($A367="","",IF($K367="","Needs ADU",IF($K367&lt;=0,"No recent demand",IF(N($D367)&lt;=0,"Needs lead time","Planned"))))</f>
        <v/>
      </c>
      <c r="M367" s="8" t="str">
        <f aca="false">IF($A367="","",IF(ISNUMBER(MATCH($C367,Profiles!$A$2:$A$100,0)),$C367,DefaultProfile))</f>
        <v/>
      </c>
      <c r="N367" s="20" t="str">
        <f aca="false">IF($A367="","",INDEX(Profiles!$D$2:$D$100,MATCH($M367,Profiles!$A$2:$A$100,0)))</f>
        <v/>
      </c>
      <c r="O367" s="20" t="str">
        <f aca="false">IF($A367="","",INDEX(Profiles!$E$2:$E$100,MATCH($M367,Profiles!$A$2:$A$100,0)))</f>
        <v/>
      </c>
      <c r="P367" s="21" t="str">
        <f aca="false">IF($L367&lt;&gt;"Planned","",$K367*$D367*$N367*(1+$O367))</f>
        <v/>
      </c>
      <c r="Q367" s="21" t="str">
        <f aca="false">IF($L367&lt;&gt;"Planned","",$K367*$D367)</f>
        <v/>
      </c>
      <c r="R367" s="21" t="str">
        <f aca="false">IF($L367&lt;&gt;"Planned","",MAX(N($E367),$K367*$D367*$N367,$K367*N($G367)))</f>
        <v/>
      </c>
      <c r="S367" s="21" t="str">
        <f aca="false">IF($L367&lt;&gt;"Planned","",$P367)</f>
        <v/>
      </c>
      <c r="T367" s="21" t="str">
        <f aca="false">IF($L367&lt;&gt;"Planned","",$P367+$Q367)</f>
        <v/>
      </c>
      <c r="U367" s="21" t="str">
        <f aca="false">IF($L367&lt;&gt;"Planned","",$T367+$R367)</f>
        <v/>
      </c>
      <c r="V367" s="8" t="str">
        <f aca="false">IF($A367="","",SUMIFS('Open supply'!$C:$C,'Open supply'!$A:$A,$AF367))</f>
        <v/>
      </c>
      <c r="W367" s="8" t="str">
        <f aca="false">IF($A367="","",SUMIFS('Open supply'!$C:$C,'Open supply'!$A:$A,$AF367,'Open supply'!$B:$B,"&lt;"&amp;PlanDate))</f>
        <v/>
      </c>
      <c r="X367" s="8" t="str">
        <f aca="false">IF($A367="","",SUMIFS('Open demand'!$G:$G,'Open demand'!$A:$A,$AF367))</f>
        <v/>
      </c>
      <c r="Y367" s="8" t="str">
        <f aca="false">IF($L367&lt;&gt;"Planned","",N($H367)+$V367-$X367)</f>
        <v/>
      </c>
      <c r="Z367" s="19" t="str">
        <f aca="false">IF($L367&lt;&gt;"Planned","",IF($Y367&lt;=$S367,"Red",IF($Y367&lt;=$T367,"Yellow",IF($Y367&lt;=$U367,"Green","Above green"))))</f>
        <v/>
      </c>
      <c r="AA367" s="22" t="str">
        <f aca="false">IF(OR($L367&lt;&gt;"Planned",N($U367)&lt;=0),"",$Y367/$U367)</f>
        <v/>
      </c>
      <c r="AB367" s="8" t="str">
        <f aca="false">IF($L367&lt;&gt;"Planned","",IF($Y367&lt;=$T367,ROUNDUP(MAX($U367-$Y367,N($E367))/IF(N($F367)&gt;0,$F367,1)-0.000000001,0)*IF(N($F367)&gt;0,$F367,1),""))</f>
        <v/>
      </c>
      <c r="AC367" s="23" t="str">
        <f aca="false">IF(N($AB367)&gt;0,PlanDate+ROUNDUP($D367,0),"")</f>
        <v/>
      </c>
      <c r="AD367" s="19" t="str">
        <f aca="false">IF($L367&lt;&gt;"Planned","",IF(N($H367)&lt;=0,"Stockout",IF(N($H367)&lt;$S367*0.5,"Critical",IF(N($H367)&lt;=$S367,"Low",IF(N($H367)&gt;$U367,"Over top of green","OK")))))</f>
        <v/>
      </c>
      <c r="AE367" s="8" t="str">
        <f aca="false">IF($A367="","",$A367&amp;"")</f>
        <v/>
      </c>
      <c r="AF367" s="8" t="str">
        <f aca="false">IF($A367="","",SUBSTITUTE(SUBSTITUTE(SUBSTITUTE($A367&amp;"","~","~~"),"*","~*"),"?","~?"))</f>
        <v/>
      </c>
    </row>
    <row r="368" customFormat="false" ht="15" hidden="false" customHeight="false" outlineLevel="0" collapsed="false">
      <c r="A368" s="11"/>
      <c r="B368" s="11"/>
      <c r="C368" s="11"/>
      <c r="D368" s="16"/>
      <c r="E368" s="11"/>
      <c r="F368" s="11"/>
      <c r="G368" s="9"/>
      <c r="H368" s="11"/>
      <c r="I368" s="17"/>
      <c r="J368" s="18" t="str">
        <f aca="false">IF($A368="","",IF(COUNT(Usage!$C:$C)=0,"",MAX(0,SUMIFS(Usage!$C:$C,Usage!$A:$A,$AF368,Usage!$B:$B,"&gt;="&amp;(PlanDate-AduWindow),Usage!$B:$B,"&lt;"&amp;PlanDate))/AduWindow))</f>
        <v/>
      </c>
      <c r="K368" s="18" t="str">
        <f aca="false">IF($A368="","",IF(AND(ISNUMBER($I368),N($I368)&gt;=0),$I368,$J368))</f>
        <v/>
      </c>
      <c r="L368" s="19" t="str">
        <f aca="false">IF($A368="","",IF($K368="","Needs ADU",IF($K368&lt;=0,"No recent demand",IF(N($D368)&lt;=0,"Needs lead time","Planned"))))</f>
        <v/>
      </c>
      <c r="M368" s="8" t="str">
        <f aca="false">IF($A368="","",IF(ISNUMBER(MATCH($C368,Profiles!$A$2:$A$100,0)),$C368,DefaultProfile))</f>
        <v/>
      </c>
      <c r="N368" s="20" t="str">
        <f aca="false">IF($A368="","",INDEX(Profiles!$D$2:$D$100,MATCH($M368,Profiles!$A$2:$A$100,0)))</f>
        <v/>
      </c>
      <c r="O368" s="20" t="str">
        <f aca="false">IF($A368="","",INDEX(Profiles!$E$2:$E$100,MATCH($M368,Profiles!$A$2:$A$100,0)))</f>
        <v/>
      </c>
      <c r="P368" s="21" t="str">
        <f aca="false">IF($L368&lt;&gt;"Planned","",$K368*$D368*$N368*(1+$O368))</f>
        <v/>
      </c>
      <c r="Q368" s="21" t="str">
        <f aca="false">IF($L368&lt;&gt;"Planned","",$K368*$D368)</f>
        <v/>
      </c>
      <c r="R368" s="21" t="str">
        <f aca="false">IF($L368&lt;&gt;"Planned","",MAX(N($E368),$K368*$D368*$N368,$K368*N($G368)))</f>
        <v/>
      </c>
      <c r="S368" s="21" t="str">
        <f aca="false">IF($L368&lt;&gt;"Planned","",$P368)</f>
        <v/>
      </c>
      <c r="T368" s="21" t="str">
        <f aca="false">IF($L368&lt;&gt;"Planned","",$P368+$Q368)</f>
        <v/>
      </c>
      <c r="U368" s="21" t="str">
        <f aca="false">IF($L368&lt;&gt;"Planned","",$T368+$R368)</f>
        <v/>
      </c>
      <c r="V368" s="8" t="str">
        <f aca="false">IF($A368="","",SUMIFS('Open supply'!$C:$C,'Open supply'!$A:$A,$AF368))</f>
        <v/>
      </c>
      <c r="W368" s="8" t="str">
        <f aca="false">IF($A368="","",SUMIFS('Open supply'!$C:$C,'Open supply'!$A:$A,$AF368,'Open supply'!$B:$B,"&lt;"&amp;PlanDate))</f>
        <v/>
      </c>
      <c r="X368" s="8" t="str">
        <f aca="false">IF($A368="","",SUMIFS('Open demand'!$G:$G,'Open demand'!$A:$A,$AF368))</f>
        <v/>
      </c>
      <c r="Y368" s="8" t="str">
        <f aca="false">IF($L368&lt;&gt;"Planned","",N($H368)+$V368-$X368)</f>
        <v/>
      </c>
      <c r="Z368" s="19" t="str">
        <f aca="false">IF($L368&lt;&gt;"Planned","",IF($Y368&lt;=$S368,"Red",IF($Y368&lt;=$T368,"Yellow",IF($Y368&lt;=$U368,"Green","Above green"))))</f>
        <v/>
      </c>
      <c r="AA368" s="22" t="str">
        <f aca="false">IF(OR($L368&lt;&gt;"Planned",N($U368)&lt;=0),"",$Y368/$U368)</f>
        <v/>
      </c>
      <c r="AB368" s="8" t="str">
        <f aca="false">IF($L368&lt;&gt;"Planned","",IF($Y368&lt;=$T368,ROUNDUP(MAX($U368-$Y368,N($E368))/IF(N($F368)&gt;0,$F368,1)-0.000000001,0)*IF(N($F368)&gt;0,$F368,1),""))</f>
        <v/>
      </c>
      <c r="AC368" s="23" t="str">
        <f aca="false">IF(N($AB368)&gt;0,PlanDate+ROUNDUP($D368,0),"")</f>
        <v/>
      </c>
      <c r="AD368" s="19" t="str">
        <f aca="false">IF($L368&lt;&gt;"Planned","",IF(N($H368)&lt;=0,"Stockout",IF(N($H368)&lt;$S368*0.5,"Critical",IF(N($H368)&lt;=$S368,"Low",IF(N($H368)&gt;$U368,"Over top of green","OK")))))</f>
        <v/>
      </c>
      <c r="AE368" s="8" t="str">
        <f aca="false">IF($A368="","",$A368&amp;"")</f>
        <v/>
      </c>
      <c r="AF368" s="8" t="str">
        <f aca="false">IF($A368="","",SUBSTITUTE(SUBSTITUTE(SUBSTITUTE($A368&amp;"","~","~~"),"*","~*"),"?","~?"))</f>
        <v/>
      </c>
    </row>
    <row r="369" customFormat="false" ht="15" hidden="false" customHeight="false" outlineLevel="0" collapsed="false">
      <c r="A369" s="11"/>
      <c r="B369" s="11"/>
      <c r="C369" s="11"/>
      <c r="D369" s="16"/>
      <c r="E369" s="11"/>
      <c r="F369" s="11"/>
      <c r="G369" s="9"/>
      <c r="H369" s="11"/>
      <c r="I369" s="17"/>
      <c r="J369" s="18" t="str">
        <f aca="false">IF($A369="","",IF(COUNT(Usage!$C:$C)=0,"",MAX(0,SUMIFS(Usage!$C:$C,Usage!$A:$A,$AF369,Usage!$B:$B,"&gt;="&amp;(PlanDate-AduWindow),Usage!$B:$B,"&lt;"&amp;PlanDate))/AduWindow))</f>
        <v/>
      </c>
      <c r="K369" s="18" t="str">
        <f aca="false">IF($A369="","",IF(AND(ISNUMBER($I369),N($I369)&gt;=0),$I369,$J369))</f>
        <v/>
      </c>
      <c r="L369" s="19" t="str">
        <f aca="false">IF($A369="","",IF($K369="","Needs ADU",IF($K369&lt;=0,"No recent demand",IF(N($D369)&lt;=0,"Needs lead time","Planned"))))</f>
        <v/>
      </c>
      <c r="M369" s="8" t="str">
        <f aca="false">IF($A369="","",IF(ISNUMBER(MATCH($C369,Profiles!$A$2:$A$100,0)),$C369,DefaultProfile))</f>
        <v/>
      </c>
      <c r="N369" s="20" t="str">
        <f aca="false">IF($A369="","",INDEX(Profiles!$D$2:$D$100,MATCH($M369,Profiles!$A$2:$A$100,0)))</f>
        <v/>
      </c>
      <c r="O369" s="20" t="str">
        <f aca="false">IF($A369="","",INDEX(Profiles!$E$2:$E$100,MATCH($M369,Profiles!$A$2:$A$100,0)))</f>
        <v/>
      </c>
      <c r="P369" s="21" t="str">
        <f aca="false">IF($L369&lt;&gt;"Planned","",$K369*$D369*$N369*(1+$O369))</f>
        <v/>
      </c>
      <c r="Q369" s="21" t="str">
        <f aca="false">IF($L369&lt;&gt;"Planned","",$K369*$D369)</f>
        <v/>
      </c>
      <c r="R369" s="21" t="str">
        <f aca="false">IF($L369&lt;&gt;"Planned","",MAX(N($E369),$K369*$D369*$N369,$K369*N($G369)))</f>
        <v/>
      </c>
      <c r="S369" s="21" t="str">
        <f aca="false">IF($L369&lt;&gt;"Planned","",$P369)</f>
        <v/>
      </c>
      <c r="T369" s="21" t="str">
        <f aca="false">IF($L369&lt;&gt;"Planned","",$P369+$Q369)</f>
        <v/>
      </c>
      <c r="U369" s="21" t="str">
        <f aca="false">IF($L369&lt;&gt;"Planned","",$T369+$R369)</f>
        <v/>
      </c>
      <c r="V369" s="8" t="str">
        <f aca="false">IF($A369="","",SUMIFS('Open supply'!$C:$C,'Open supply'!$A:$A,$AF369))</f>
        <v/>
      </c>
      <c r="W369" s="8" t="str">
        <f aca="false">IF($A369="","",SUMIFS('Open supply'!$C:$C,'Open supply'!$A:$A,$AF369,'Open supply'!$B:$B,"&lt;"&amp;PlanDate))</f>
        <v/>
      </c>
      <c r="X369" s="8" t="str">
        <f aca="false">IF($A369="","",SUMIFS('Open demand'!$G:$G,'Open demand'!$A:$A,$AF369))</f>
        <v/>
      </c>
      <c r="Y369" s="8" t="str">
        <f aca="false">IF($L369&lt;&gt;"Planned","",N($H369)+$V369-$X369)</f>
        <v/>
      </c>
      <c r="Z369" s="19" t="str">
        <f aca="false">IF($L369&lt;&gt;"Planned","",IF($Y369&lt;=$S369,"Red",IF($Y369&lt;=$T369,"Yellow",IF($Y369&lt;=$U369,"Green","Above green"))))</f>
        <v/>
      </c>
      <c r="AA369" s="22" t="str">
        <f aca="false">IF(OR($L369&lt;&gt;"Planned",N($U369)&lt;=0),"",$Y369/$U369)</f>
        <v/>
      </c>
      <c r="AB369" s="8" t="str">
        <f aca="false">IF($L369&lt;&gt;"Planned","",IF($Y369&lt;=$T369,ROUNDUP(MAX($U369-$Y369,N($E369))/IF(N($F369)&gt;0,$F369,1)-0.000000001,0)*IF(N($F369)&gt;0,$F369,1),""))</f>
        <v/>
      </c>
      <c r="AC369" s="23" t="str">
        <f aca="false">IF(N($AB369)&gt;0,PlanDate+ROUNDUP($D369,0),"")</f>
        <v/>
      </c>
      <c r="AD369" s="19" t="str">
        <f aca="false">IF($L369&lt;&gt;"Planned","",IF(N($H369)&lt;=0,"Stockout",IF(N($H369)&lt;$S369*0.5,"Critical",IF(N($H369)&lt;=$S369,"Low",IF(N($H369)&gt;$U369,"Over top of green","OK")))))</f>
        <v/>
      </c>
      <c r="AE369" s="8" t="str">
        <f aca="false">IF($A369="","",$A369&amp;"")</f>
        <v/>
      </c>
      <c r="AF369" s="8" t="str">
        <f aca="false">IF($A369="","",SUBSTITUTE(SUBSTITUTE(SUBSTITUTE($A369&amp;"","~","~~"),"*","~*"),"?","~?"))</f>
        <v/>
      </c>
    </row>
    <row r="370" customFormat="false" ht="15" hidden="false" customHeight="false" outlineLevel="0" collapsed="false">
      <c r="A370" s="11"/>
      <c r="B370" s="11"/>
      <c r="C370" s="11"/>
      <c r="D370" s="16"/>
      <c r="E370" s="11"/>
      <c r="F370" s="11"/>
      <c r="G370" s="9"/>
      <c r="H370" s="11"/>
      <c r="I370" s="17"/>
      <c r="J370" s="18" t="str">
        <f aca="false">IF($A370="","",IF(COUNT(Usage!$C:$C)=0,"",MAX(0,SUMIFS(Usage!$C:$C,Usage!$A:$A,$AF370,Usage!$B:$B,"&gt;="&amp;(PlanDate-AduWindow),Usage!$B:$B,"&lt;"&amp;PlanDate))/AduWindow))</f>
        <v/>
      </c>
      <c r="K370" s="18" t="str">
        <f aca="false">IF($A370="","",IF(AND(ISNUMBER($I370),N($I370)&gt;=0),$I370,$J370))</f>
        <v/>
      </c>
      <c r="L370" s="19" t="str">
        <f aca="false">IF($A370="","",IF($K370="","Needs ADU",IF($K370&lt;=0,"No recent demand",IF(N($D370)&lt;=0,"Needs lead time","Planned"))))</f>
        <v/>
      </c>
      <c r="M370" s="8" t="str">
        <f aca="false">IF($A370="","",IF(ISNUMBER(MATCH($C370,Profiles!$A$2:$A$100,0)),$C370,DefaultProfile))</f>
        <v/>
      </c>
      <c r="N370" s="20" t="str">
        <f aca="false">IF($A370="","",INDEX(Profiles!$D$2:$D$100,MATCH($M370,Profiles!$A$2:$A$100,0)))</f>
        <v/>
      </c>
      <c r="O370" s="20" t="str">
        <f aca="false">IF($A370="","",INDEX(Profiles!$E$2:$E$100,MATCH($M370,Profiles!$A$2:$A$100,0)))</f>
        <v/>
      </c>
      <c r="P370" s="21" t="str">
        <f aca="false">IF($L370&lt;&gt;"Planned","",$K370*$D370*$N370*(1+$O370))</f>
        <v/>
      </c>
      <c r="Q370" s="21" t="str">
        <f aca="false">IF($L370&lt;&gt;"Planned","",$K370*$D370)</f>
        <v/>
      </c>
      <c r="R370" s="21" t="str">
        <f aca="false">IF($L370&lt;&gt;"Planned","",MAX(N($E370),$K370*$D370*$N370,$K370*N($G370)))</f>
        <v/>
      </c>
      <c r="S370" s="21" t="str">
        <f aca="false">IF($L370&lt;&gt;"Planned","",$P370)</f>
        <v/>
      </c>
      <c r="T370" s="21" t="str">
        <f aca="false">IF($L370&lt;&gt;"Planned","",$P370+$Q370)</f>
        <v/>
      </c>
      <c r="U370" s="21" t="str">
        <f aca="false">IF($L370&lt;&gt;"Planned","",$T370+$R370)</f>
        <v/>
      </c>
      <c r="V370" s="8" t="str">
        <f aca="false">IF($A370="","",SUMIFS('Open supply'!$C:$C,'Open supply'!$A:$A,$AF370))</f>
        <v/>
      </c>
      <c r="W370" s="8" t="str">
        <f aca="false">IF($A370="","",SUMIFS('Open supply'!$C:$C,'Open supply'!$A:$A,$AF370,'Open supply'!$B:$B,"&lt;"&amp;PlanDate))</f>
        <v/>
      </c>
      <c r="X370" s="8" t="str">
        <f aca="false">IF($A370="","",SUMIFS('Open demand'!$G:$G,'Open demand'!$A:$A,$AF370))</f>
        <v/>
      </c>
      <c r="Y370" s="8" t="str">
        <f aca="false">IF($L370&lt;&gt;"Planned","",N($H370)+$V370-$X370)</f>
        <v/>
      </c>
      <c r="Z370" s="19" t="str">
        <f aca="false">IF($L370&lt;&gt;"Planned","",IF($Y370&lt;=$S370,"Red",IF($Y370&lt;=$T370,"Yellow",IF($Y370&lt;=$U370,"Green","Above green"))))</f>
        <v/>
      </c>
      <c r="AA370" s="22" t="str">
        <f aca="false">IF(OR($L370&lt;&gt;"Planned",N($U370)&lt;=0),"",$Y370/$U370)</f>
        <v/>
      </c>
      <c r="AB370" s="8" t="str">
        <f aca="false">IF($L370&lt;&gt;"Planned","",IF($Y370&lt;=$T370,ROUNDUP(MAX($U370-$Y370,N($E370))/IF(N($F370)&gt;0,$F370,1)-0.000000001,0)*IF(N($F370)&gt;0,$F370,1),""))</f>
        <v/>
      </c>
      <c r="AC370" s="23" t="str">
        <f aca="false">IF(N($AB370)&gt;0,PlanDate+ROUNDUP($D370,0),"")</f>
        <v/>
      </c>
      <c r="AD370" s="19" t="str">
        <f aca="false">IF($L370&lt;&gt;"Planned","",IF(N($H370)&lt;=0,"Stockout",IF(N($H370)&lt;$S370*0.5,"Critical",IF(N($H370)&lt;=$S370,"Low",IF(N($H370)&gt;$U370,"Over top of green","OK")))))</f>
        <v/>
      </c>
      <c r="AE370" s="8" t="str">
        <f aca="false">IF($A370="","",$A370&amp;"")</f>
        <v/>
      </c>
      <c r="AF370" s="8" t="str">
        <f aca="false">IF($A370="","",SUBSTITUTE(SUBSTITUTE(SUBSTITUTE($A370&amp;"","~","~~"),"*","~*"),"?","~?"))</f>
        <v/>
      </c>
    </row>
    <row r="371" customFormat="false" ht="15" hidden="false" customHeight="false" outlineLevel="0" collapsed="false">
      <c r="A371" s="11"/>
      <c r="B371" s="11"/>
      <c r="C371" s="11"/>
      <c r="D371" s="16"/>
      <c r="E371" s="11"/>
      <c r="F371" s="11"/>
      <c r="G371" s="9"/>
      <c r="H371" s="11"/>
      <c r="I371" s="17"/>
      <c r="J371" s="18" t="str">
        <f aca="false">IF($A371="","",IF(COUNT(Usage!$C:$C)=0,"",MAX(0,SUMIFS(Usage!$C:$C,Usage!$A:$A,$AF371,Usage!$B:$B,"&gt;="&amp;(PlanDate-AduWindow),Usage!$B:$B,"&lt;"&amp;PlanDate))/AduWindow))</f>
        <v/>
      </c>
      <c r="K371" s="18" t="str">
        <f aca="false">IF($A371="","",IF(AND(ISNUMBER($I371),N($I371)&gt;=0),$I371,$J371))</f>
        <v/>
      </c>
      <c r="L371" s="19" t="str">
        <f aca="false">IF($A371="","",IF($K371="","Needs ADU",IF($K371&lt;=0,"No recent demand",IF(N($D371)&lt;=0,"Needs lead time","Planned"))))</f>
        <v/>
      </c>
      <c r="M371" s="8" t="str">
        <f aca="false">IF($A371="","",IF(ISNUMBER(MATCH($C371,Profiles!$A$2:$A$100,0)),$C371,DefaultProfile))</f>
        <v/>
      </c>
      <c r="N371" s="20" t="str">
        <f aca="false">IF($A371="","",INDEX(Profiles!$D$2:$D$100,MATCH($M371,Profiles!$A$2:$A$100,0)))</f>
        <v/>
      </c>
      <c r="O371" s="20" t="str">
        <f aca="false">IF($A371="","",INDEX(Profiles!$E$2:$E$100,MATCH($M371,Profiles!$A$2:$A$100,0)))</f>
        <v/>
      </c>
      <c r="P371" s="21" t="str">
        <f aca="false">IF($L371&lt;&gt;"Planned","",$K371*$D371*$N371*(1+$O371))</f>
        <v/>
      </c>
      <c r="Q371" s="21" t="str">
        <f aca="false">IF($L371&lt;&gt;"Planned","",$K371*$D371)</f>
        <v/>
      </c>
      <c r="R371" s="21" t="str">
        <f aca="false">IF($L371&lt;&gt;"Planned","",MAX(N($E371),$K371*$D371*$N371,$K371*N($G371)))</f>
        <v/>
      </c>
      <c r="S371" s="21" t="str">
        <f aca="false">IF($L371&lt;&gt;"Planned","",$P371)</f>
        <v/>
      </c>
      <c r="T371" s="21" t="str">
        <f aca="false">IF($L371&lt;&gt;"Planned","",$P371+$Q371)</f>
        <v/>
      </c>
      <c r="U371" s="21" t="str">
        <f aca="false">IF($L371&lt;&gt;"Planned","",$T371+$R371)</f>
        <v/>
      </c>
      <c r="V371" s="8" t="str">
        <f aca="false">IF($A371="","",SUMIFS('Open supply'!$C:$C,'Open supply'!$A:$A,$AF371))</f>
        <v/>
      </c>
      <c r="W371" s="8" t="str">
        <f aca="false">IF($A371="","",SUMIFS('Open supply'!$C:$C,'Open supply'!$A:$A,$AF371,'Open supply'!$B:$B,"&lt;"&amp;PlanDate))</f>
        <v/>
      </c>
      <c r="X371" s="8" t="str">
        <f aca="false">IF($A371="","",SUMIFS('Open demand'!$G:$G,'Open demand'!$A:$A,$AF371))</f>
        <v/>
      </c>
      <c r="Y371" s="8" t="str">
        <f aca="false">IF($L371&lt;&gt;"Planned","",N($H371)+$V371-$X371)</f>
        <v/>
      </c>
      <c r="Z371" s="19" t="str">
        <f aca="false">IF($L371&lt;&gt;"Planned","",IF($Y371&lt;=$S371,"Red",IF($Y371&lt;=$T371,"Yellow",IF($Y371&lt;=$U371,"Green","Above green"))))</f>
        <v/>
      </c>
      <c r="AA371" s="22" t="str">
        <f aca="false">IF(OR($L371&lt;&gt;"Planned",N($U371)&lt;=0),"",$Y371/$U371)</f>
        <v/>
      </c>
      <c r="AB371" s="8" t="str">
        <f aca="false">IF($L371&lt;&gt;"Planned","",IF($Y371&lt;=$T371,ROUNDUP(MAX($U371-$Y371,N($E371))/IF(N($F371)&gt;0,$F371,1)-0.000000001,0)*IF(N($F371)&gt;0,$F371,1),""))</f>
        <v/>
      </c>
      <c r="AC371" s="23" t="str">
        <f aca="false">IF(N($AB371)&gt;0,PlanDate+ROUNDUP($D371,0),"")</f>
        <v/>
      </c>
      <c r="AD371" s="19" t="str">
        <f aca="false">IF($L371&lt;&gt;"Planned","",IF(N($H371)&lt;=0,"Stockout",IF(N($H371)&lt;$S371*0.5,"Critical",IF(N($H371)&lt;=$S371,"Low",IF(N($H371)&gt;$U371,"Over top of green","OK")))))</f>
        <v/>
      </c>
      <c r="AE371" s="8" t="str">
        <f aca="false">IF($A371="","",$A371&amp;"")</f>
        <v/>
      </c>
      <c r="AF371" s="8" t="str">
        <f aca="false">IF($A371="","",SUBSTITUTE(SUBSTITUTE(SUBSTITUTE($A371&amp;"","~","~~"),"*","~*"),"?","~?"))</f>
        <v/>
      </c>
    </row>
    <row r="372" customFormat="false" ht="15" hidden="false" customHeight="false" outlineLevel="0" collapsed="false">
      <c r="A372" s="11"/>
      <c r="B372" s="11"/>
      <c r="C372" s="11"/>
      <c r="D372" s="16"/>
      <c r="E372" s="11"/>
      <c r="F372" s="11"/>
      <c r="G372" s="9"/>
      <c r="H372" s="11"/>
      <c r="I372" s="17"/>
      <c r="J372" s="18" t="str">
        <f aca="false">IF($A372="","",IF(COUNT(Usage!$C:$C)=0,"",MAX(0,SUMIFS(Usage!$C:$C,Usage!$A:$A,$AF372,Usage!$B:$B,"&gt;="&amp;(PlanDate-AduWindow),Usage!$B:$B,"&lt;"&amp;PlanDate))/AduWindow))</f>
        <v/>
      </c>
      <c r="K372" s="18" t="str">
        <f aca="false">IF($A372="","",IF(AND(ISNUMBER($I372),N($I372)&gt;=0),$I372,$J372))</f>
        <v/>
      </c>
      <c r="L372" s="19" t="str">
        <f aca="false">IF($A372="","",IF($K372="","Needs ADU",IF($K372&lt;=0,"No recent demand",IF(N($D372)&lt;=0,"Needs lead time","Planned"))))</f>
        <v/>
      </c>
      <c r="M372" s="8" t="str">
        <f aca="false">IF($A372="","",IF(ISNUMBER(MATCH($C372,Profiles!$A$2:$A$100,0)),$C372,DefaultProfile))</f>
        <v/>
      </c>
      <c r="N372" s="20" t="str">
        <f aca="false">IF($A372="","",INDEX(Profiles!$D$2:$D$100,MATCH($M372,Profiles!$A$2:$A$100,0)))</f>
        <v/>
      </c>
      <c r="O372" s="20" t="str">
        <f aca="false">IF($A372="","",INDEX(Profiles!$E$2:$E$100,MATCH($M372,Profiles!$A$2:$A$100,0)))</f>
        <v/>
      </c>
      <c r="P372" s="21" t="str">
        <f aca="false">IF($L372&lt;&gt;"Planned","",$K372*$D372*$N372*(1+$O372))</f>
        <v/>
      </c>
      <c r="Q372" s="21" t="str">
        <f aca="false">IF($L372&lt;&gt;"Planned","",$K372*$D372)</f>
        <v/>
      </c>
      <c r="R372" s="21" t="str">
        <f aca="false">IF($L372&lt;&gt;"Planned","",MAX(N($E372),$K372*$D372*$N372,$K372*N($G372)))</f>
        <v/>
      </c>
      <c r="S372" s="21" t="str">
        <f aca="false">IF($L372&lt;&gt;"Planned","",$P372)</f>
        <v/>
      </c>
      <c r="T372" s="21" t="str">
        <f aca="false">IF($L372&lt;&gt;"Planned","",$P372+$Q372)</f>
        <v/>
      </c>
      <c r="U372" s="21" t="str">
        <f aca="false">IF($L372&lt;&gt;"Planned","",$T372+$R372)</f>
        <v/>
      </c>
      <c r="V372" s="8" t="str">
        <f aca="false">IF($A372="","",SUMIFS('Open supply'!$C:$C,'Open supply'!$A:$A,$AF372))</f>
        <v/>
      </c>
      <c r="W372" s="8" t="str">
        <f aca="false">IF($A372="","",SUMIFS('Open supply'!$C:$C,'Open supply'!$A:$A,$AF372,'Open supply'!$B:$B,"&lt;"&amp;PlanDate))</f>
        <v/>
      </c>
      <c r="X372" s="8" t="str">
        <f aca="false">IF($A372="","",SUMIFS('Open demand'!$G:$G,'Open demand'!$A:$A,$AF372))</f>
        <v/>
      </c>
      <c r="Y372" s="8" t="str">
        <f aca="false">IF($L372&lt;&gt;"Planned","",N($H372)+$V372-$X372)</f>
        <v/>
      </c>
      <c r="Z372" s="19" t="str">
        <f aca="false">IF($L372&lt;&gt;"Planned","",IF($Y372&lt;=$S372,"Red",IF($Y372&lt;=$T372,"Yellow",IF($Y372&lt;=$U372,"Green","Above green"))))</f>
        <v/>
      </c>
      <c r="AA372" s="22" t="str">
        <f aca="false">IF(OR($L372&lt;&gt;"Planned",N($U372)&lt;=0),"",$Y372/$U372)</f>
        <v/>
      </c>
      <c r="AB372" s="8" t="str">
        <f aca="false">IF($L372&lt;&gt;"Planned","",IF($Y372&lt;=$T372,ROUNDUP(MAX($U372-$Y372,N($E372))/IF(N($F372)&gt;0,$F372,1)-0.000000001,0)*IF(N($F372)&gt;0,$F372,1),""))</f>
        <v/>
      </c>
      <c r="AC372" s="23" t="str">
        <f aca="false">IF(N($AB372)&gt;0,PlanDate+ROUNDUP($D372,0),"")</f>
        <v/>
      </c>
      <c r="AD372" s="19" t="str">
        <f aca="false">IF($L372&lt;&gt;"Planned","",IF(N($H372)&lt;=0,"Stockout",IF(N($H372)&lt;$S372*0.5,"Critical",IF(N($H372)&lt;=$S372,"Low",IF(N($H372)&gt;$U372,"Over top of green","OK")))))</f>
        <v/>
      </c>
      <c r="AE372" s="8" t="str">
        <f aca="false">IF($A372="","",$A372&amp;"")</f>
        <v/>
      </c>
      <c r="AF372" s="8" t="str">
        <f aca="false">IF($A372="","",SUBSTITUTE(SUBSTITUTE(SUBSTITUTE($A372&amp;"","~","~~"),"*","~*"),"?","~?"))</f>
        <v/>
      </c>
    </row>
    <row r="373" customFormat="false" ht="15" hidden="false" customHeight="false" outlineLevel="0" collapsed="false">
      <c r="A373" s="11"/>
      <c r="B373" s="11"/>
      <c r="C373" s="11"/>
      <c r="D373" s="16"/>
      <c r="E373" s="11"/>
      <c r="F373" s="11"/>
      <c r="G373" s="9"/>
      <c r="H373" s="11"/>
      <c r="I373" s="17"/>
      <c r="J373" s="18" t="str">
        <f aca="false">IF($A373="","",IF(COUNT(Usage!$C:$C)=0,"",MAX(0,SUMIFS(Usage!$C:$C,Usage!$A:$A,$AF373,Usage!$B:$B,"&gt;="&amp;(PlanDate-AduWindow),Usage!$B:$B,"&lt;"&amp;PlanDate))/AduWindow))</f>
        <v/>
      </c>
      <c r="K373" s="18" t="str">
        <f aca="false">IF($A373="","",IF(AND(ISNUMBER($I373),N($I373)&gt;=0),$I373,$J373))</f>
        <v/>
      </c>
      <c r="L373" s="19" t="str">
        <f aca="false">IF($A373="","",IF($K373="","Needs ADU",IF($K373&lt;=0,"No recent demand",IF(N($D373)&lt;=0,"Needs lead time","Planned"))))</f>
        <v/>
      </c>
      <c r="M373" s="8" t="str">
        <f aca="false">IF($A373="","",IF(ISNUMBER(MATCH($C373,Profiles!$A$2:$A$100,0)),$C373,DefaultProfile))</f>
        <v/>
      </c>
      <c r="N373" s="20" t="str">
        <f aca="false">IF($A373="","",INDEX(Profiles!$D$2:$D$100,MATCH($M373,Profiles!$A$2:$A$100,0)))</f>
        <v/>
      </c>
      <c r="O373" s="20" t="str">
        <f aca="false">IF($A373="","",INDEX(Profiles!$E$2:$E$100,MATCH($M373,Profiles!$A$2:$A$100,0)))</f>
        <v/>
      </c>
      <c r="P373" s="21" t="str">
        <f aca="false">IF($L373&lt;&gt;"Planned","",$K373*$D373*$N373*(1+$O373))</f>
        <v/>
      </c>
      <c r="Q373" s="21" t="str">
        <f aca="false">IF($L373&lt;&gt;"Planned","",$K373*$D373)</f>
        <v/>
      </c>
      <c r="R373" s="21" t="str">
        <f aca="false">IF($L373&lt;&gt;"Planned","",MAX(N($E373),$K373*$D373*$N373,$K373*N($G373)))</f>
        <v/>
      </c>
      <c r="S373" s="21" t="str">
        <f aca="false">IF($L373&lt;&gt;"Planned","",$P373)</f>
        <v/>
      </c>
      <c r="T373" s="21" t="str">
        <f aca="false">IF($L373&lt;&gt;"Planned","",$P373+$Q373)</f>
        <v/>
      </c>
      <c r="U373" s="21" t="str">
        <f aca="false">IF($L373&lt;&gt;"Planned","",$T373+$R373)</f>
        <v/>
      </c>
      <c r="V373" s="8" t="str">
        <f aca="false">IF($A373="","",SUMIFS('Open supply'!$C:$C,'Open supply'!$A:$A,$AF373))</f>
        <v/>
      </c>
      <c r="W373" s="8" t="str">
        <f aca="false">IF($A373="","",SUMIFS('Open supply'!$C:$C,'Open supply'!$A:$A,$AF373,'Open supply'!$B:$B,"&lt;"&amp;PlanDate))</f>
        <v/>
      </c>
      <c r="X373" s="8" t="str">
        <f aca="false">IF($A373="","",SUMIFS('Open demand'!$G:$G,'Open demand'!$A:$A,$AF373))</f>
        <v/>
      </c>
      <c r="Y373" s="8" t="str">
        <f aca="false">IF($L373&lt;&gt;"Planned","",N($H373)+$V373-$X373)</f>
        <v/>
      </c>
      <c r="Z373" s="19" t="str">
        <f aca="false">IF($L373&lt;&gt;"Planned","",IF($Y373&lt;=$S373,"Red",IF($Y373&lt;=$T373,"Yellow",IF($Y373&lt;=$U373,"Green","Above green"))))</f>
        <v/>
      </c>
      <c r="AA373" s="22" t="str">
        <f aca="false">IF(OR($L373&lt;&gt;"Planned",N($U373)&lt;=0),"",$Y373/$U373)</f>
        <v/>
      </c>
      <c r="AB373" s="8" t="str">
        <f aca="false">IF($L373&lt;&gt;"Planned","",IF($Y373&lt;=$T373,ROUNDUP(MAX($U373-$Y373,N($E373))/IF(N($F373)&gt;0,$F373,1)-0.000000001,0)*IF(N($F373)&gt;0,$F373,1),""))</f>
        <v/>
      </c>
      <c r="AC373" s="23" t="str">
        <f aca="false">IF(N($AB373)&gt;0,PlanDate+ROUNDUP($D373,0),"")</f>
        <v/>
      </c>
      <c r="AD373" s="19" t="str">
        <f aca="false">IF($L373&lt;&gt;"Planned","",IF(N($H373)&lt;=0,"Stockout",IF(N($H373)&lt;$S373*0.5,"Critical",IF(N($H373)&lt;=$S373,"Low",IF(N($H373)&gt;$U373,"Over top of green","OK")))))</f>
        <v/>
      </c>
      <c r="AE373" s="8" t="str">
        <f aca="false">IF($A373="","",$A373&amp;"")</f>
        <v/>
      </c>
      <c r="AF373" s="8" t="str">
        <f aca="false">IF($A373="","",SUBSTITUTE(SUBSTITUTE(SUBSTITUTE($A373&amp;"","~","~~"),"*","~*"),"?","~?"))</f>
        <v/>
      </c>
    </row>
    <row r="374" customFormat="false" ht="15" hidden="false" customHeight="false" outlineLevel="0" collapsed="false">
      <c r="A374" s="11"/>
      <c r="B374" s="11"/>
      <c r="C374" s="11"/>
      <c r="D374" s="16"/>
      <c r="E374" s="11"/>
      <c r="F374" s="11"/>
      <c r="G374" s="9"/>
      <c r="H374" s="11"/>
      <c r="I374" s="17"/>
      <c r="J374" s="18" t="str">
        <f aca="false">IF($A374="","",IF(COUNT(Usage!$C:$C)=0,"",MAX(0,SUMIFS(Usage!$C:$C,Usage!$A:$A,$AF374,Usage!$B:$B,"&gt;="&amp;(PlanDate-AduWindow),Usage!$B:$B,"&lt;"&amp;PlanDate))/AduWindow))</f>
        <v/>
      </c>
      <c r="K374" s="18" t="str">
        <f aca="false">IF($A374="","",IF(AND(ISNUMBER($I374),N($I374)&gt;=0),$I374,$J374))</f>
        <v/>
      </c>
      <c r="L374" s="19" t="str">
        <f aca="false">IF($A374="","",IF($K374="","Needs ADU",IF($K374&lt;=0,"No recent demand",IF(N($D374)&lt;=0,"Needs lead time","Planned"))))</f>
        <v/>
      </c>
      <c r="M374" s="8" t="str">
        <f aca="false">IF($A374="","",IF(ISNUMBER(MATCH($C374,Profiles!$A$2:$A$100,0)),$C374,DefaultProfile))</f>
        <v/>
      </c>
      <c r="N374" s="20" t="str">
        <f aca="false">IF($A374="","",INDEX(Profiles!$D$2:$D$100,MATCH($M374,Profiles!$A$2:$A$100,0)))</f>
        <v/>
      </c>
      <c r="O374" s="20" t="str">
        <f aca="false">IF($A374="","",INDEX(Profiles!$E$2:$E$100,MATCH($M374,Profiles!$A$2:$A$100,0)))</f>
        <v/>
      </c>
      <c r="P374" s="21" t="str">
        <f aca="false">IF($L374&lt;&gt;"Planned","",$K374*$D374*$N374*(1+$O374))</f>
        <v/>
      </c>
      <c r="Q374" s="21" t="str">
        <f aca="false">IF($L374&lt;&gt;"Planned","",$K374*$D374)</f>
        <v/>
      </c>
      <c r="R374" s="21" t="str">
        <f aca="false">IF($L374&lt;&gt;"Planned","",MAX(N($E374),$K374*$D374*$N374,$K374*N($G374)))</f>
        <v/>
      </c>
      <c r="S374" s="21" t="str">
        <f aca="false">IF($L374&lt;&gt;"Planned","",$P374)</f>
        <v/>
      </c>
      <c r="T374" s="21" t="str">
        <f aca="false">IF($L374&lt;&gt;"Planned","",$P374+$Q374)</f>
        <v/>
      </c>
      <c r="U374" s="21" t="str">
        <f aca="false">IF($L374&lt;&gt;"Planned","",$T374+$R374)</f>
        <v/>
      </c>
      <c r="V374" s="8" t="str">
        <f aca="false">IF($A374="","",SUMIFS('Open supply'!$C:$C,'Open supply'!$A:$A,$AF374))</f>
        <v/>
      </c>
      <c r="W374" s="8" t="str">
        <f aca="false">IF($A374="","",SUMIFS('Open supply'!$C:$C,'Open supply'!$A:$A,$AF374,'Open supply'!$B:$B,"&lt;"&amp;PlanDate))</f>
        <v/>
      </c>
      <c r="X374" s="8" t="str">
        <f aca="false">IF($A374="","",SUMIFS('Open demand'!$G:$G,'Open demand'!$A:$A,$AF374))</f>
        <v/>
      </c>
      <c r="Y374" s="8" t="str">
        <f aca="false">IF($L374&lt;&gt;"Planned","",N($H374)+$V374-$X374)</f>
        <v/>
      </c>
      <c r="Z374" s="19" t="str">
        <f aca="false">IF($L374&lt;&gt;"Planned","",IF($Y374&lt;=$S374,"Red",IF($Y374&lt;=$T374,"Yellow",IF($Y374&lt;=$U374,"Green","Above green"))))</f>
        <v/>
      </c>
      <c r="AA374" s="22" t="str">
        <f aca="false">IF(OR($L374&lt;&gt;"Planned",N($U374)&lt;=0),"",$Y374/$U374)</f>
        <v/>
      </c>
      <c r="AB374" s="8" t="str">
        <f aca="false">IF($L374&lt;&gt;"Planned","",IF($Y374&lt;=$T374,ROUNDUP(MAX($U374-$Y374,N($E374))/IF(N($F374)&gt;0,$F374,1)-0.000000001,0)*IF(N($F374)&gt;0,$F374,1),""))</f>
        <v/>
      </c>
      <c r="AC374" s="23" t="str">
        <f aca="false">IF(N($AB374)&gt;0,PlanDate+ROUNDUP($D374,0),"")</f>
        <v/>
      </c>
      <c r="AD374" s="19" t="str">
        <f aca="false">IF($L374&lt;&gt;"Planned","",IF(N($H374)&lt;=0,"Stockout",IF(N($H374)&lt;$S374*0.5,"Critical",IF(N($H374)&lt;=$S374,"Low",IF(N($H374)&gt;$U374,"Over top of green","OK")))))</f>
        <v/>
      </c>
      <c r="AE374" s="8" t="str">
        <f aca="false">IF($A374="","",$A374&amp;"")</f>
        <v/>
      </c>
      <c r="AF374" s="8" t="str">
        <f aca="false">IF($A374="","",SUBSTITUTE(SUBSTITUTE(SUBSTITUTE($A374&amp;"","~","~~"),"*","~*"),"?","~?"))</f>
        <v/>
      </c>
    </row>
    <row r="375" customFormat="false" ht="15" hidden="false" customHeight="false" outlineLevel="0" collapsed="false">
      <c r="A375" s="11"/>
      <c r="B375" s="11"/>
      <c r="C375" s="11"/>
      <c r="D375" s="16"/>
      <c r="E375" s="11"/>
      <c r="F375" s="11"/>
      <c r="G375" s="9"/>
      <c r="H375" s="11"/>
      <c r="I375" s="17"/>
      <c r="J375" s="18" t="str">
        <f aca="false">IF($A375="","",IF(COUNT(Usage!$C:$C)=0,"",MAX(0,SUMIFS(Usage!$C:$C,Usage!$A:$A,$AF375,Usage!$B:$B,"&gt;="&amp;(PlanDate-AduWindow),Usage!$B:$B,"&lt;"&amp;PlanDate))/AduWindow))</f>
        <v/>
      </c>
      <c r="K375" s="18" t="str">
        <f aca="false">IF($A375="","",IF(AND(ISNUMBER($I375),N($I375)&gt;=0),$I375,$J375))</f>
        <v/>
      </c>
      <c r="L375" s="19" t="str">
        <f aca="false">IF($A375="","",IF($K375="","Needs ADU",IF($K375&lt;=0,"No recent demand",IF(N($D375)&lt;=0,"Needs lead time","Planned"))))</f>
        <v/>
      </c>
      <c r="M375" s="8" t="str">
        <f aca="false">IF($A375="","",IF(ISNUMBER(MATCH($C375,Profiles!$A$2:$A$100,0)),$C375,DefaultProfile))</f>
        <v/>
      </c>
      <c r="N375" s="20" t="str">
        <f aca="false">IF($A375="","",INDEX(Profiles!$D$2:$D$100,MATCH($M375,Profiles!$A$2:$A$100,0)))</f>
        <v/>
      </c>
      <c r="O375" s="20" t="str">
        <f aca="false">IF($A375="","",INDEX(Profiles!$E$2:$E$100,MATCH($M375,Profiles!$A$2:$A$100,0)))</f>
        <v/>
      </c>
      <c r="P375" s="21" t="str">
        <f aca="false">IF($L375&lt;&gt;"Planned","",$K375*$D375*$N375*(1+$O375))</f>
        <v/>
      </c>
      <c r="Q375" s="21" t="str">
        <f aca="false">IF($L375&lt;&gt;"Planned","",$K375*$D375)</f>
        <v/>
      </c>
      <c r="R375" s="21" t="str">
        <f aca="false">IF($L375&lt;&gt;"Planned","",MAX(N($E375),$K375*$D375*$N375,$K375*N($G375)))</f>
        <v/>
      </c>
      <c r="S375" s="21" t="str">
        <f aca="false">IF($L375&lt;&gt;"Planned","",$P375)</f>
        <v/>
      </c>
      <c r="T375" s="21" t="str">
        <f aca="false">IF($L375&lt;&gt;"Planned","",$P375+$Q375)</f>
        <v/>
      </c>
      <c r="U375" s="21" t="str">
        <f aca="false">IF($L375&lt;&gt;"Planned","",$T375+$R375)</f>
        <v/>
      </c>
      <c r="V375" s="8" t="str">
        <f aca="false">IF($A375="","",SUMIFS('Open supply'!$C:$C,'Open supply'!$A:$A,$AF375))</f>
        <v/>
      </c>
      <c r="W375" s="8" t="str">
        <f aca="false">IF($A375="","",SUMIFS('Open supply'!$C:$C,'Open supply'!$A:$A,$AF375,'Open supply'!$B:$B,"&lt;"&amp;PlanDate))</f>
        <v/>
      </c>
      <c r="X375" s="8" t="str">
        <f aca="false">IF($A375="","",SUMIFS('Open demand'!$G:$G,'Open demand'!$A:$A,$AF375))</f>
        <v/>
      </c>
      <c r="Y375" s="8" t="str">
        <f aca="false">IF($L375&lt;&gt;"Planned","",N($H375)+$V375-$X375)</f>
        <v/>
      </c>
      <c r="Z375" s="19" t="str">
        <f aca="false">IF($L375&lt;&gt;"Planned","",IF($Y375&lt;=$S375,"Red",IF($Y375&lt;=$T375,"Yellow",IF($Y375&lt;=$U375,"Green","Above green"))))</f>
        <v/>
      </c>
      <c r="AA375" s="22" t="str">
        <f aca="false">IF(OR($L375&lt;&gt;"Planned",N($U375)&lt;=0),"",$Y375/$U375)</f>
        <v/>
      </c>
      <c r="AB375" s="8" t="str">
        <f aca="false">IF($L375&lt;&gt;"Planned","",IF($Y375&lt;=$T375,ROUNDUP(MAX($U375-$Y375,N($E375))/IF(N($F375)&gt;0,$F375,1)-0.000000001,0)*IF(N($F375)&gt;0,$F375,1),""))</f>
        <v/>
      </c>
      <c r="AC375" s="23" t="str">
        <f aca="false">IF(N($AB375)&gt;0,PlanDate+ROUNDUP($D375,0),"")</f>
        <v/>
      </c>
      <c r="AD375" s="19" t="str">
        <f aca="false">IF($L375&lt;&gt;"Planned","",IF(N($H375)&lt;=0,"Stockout",IF(N($H375)&lt;$S375*0.5,"Critical",IF(N($H375)&lt;=$S375,"Low",IF(N($H375)&gt;$U375,"Over top of green","OK")))))</f>
        <v/>
      </c>
      <c r="AE375" s="8" t="str">
        <f aca="false">IF($A375="","",$A375&amp;"")</f>
        <v/>
      </c>
      <c r="AF375" s="8" t="str">
        <f aca="false">IF($A375="","",SUBSTITUTE(SUBSTITUTE(SUBSTITUTE($A375&amp;"","~","~~"),"*","~*"),"?","~?"))</f>
        <v/>
      </c>
    </row>
    <row r="376" customFormat="false" ht="15" hidden="false" customHeight="false" outlineLevel="0" collapsed="false">
      <c r="A376" s="11"/>
      <c r="B376" s="11"/>
      <c r="C376" s="11"/>
      <c r="D376" s="16"/>
      <c r="E376" s="11"/>
      <c r="F376" s="11"/>
      <c r="G376" s="9"/>
      <c r="H376" s="11"/>
      <c r="I376" s="17"/>
      <c r="J376" s="18" t="str">
        <f aca="false">IF($A376="","",IF(COUNT(Usage!$C:$C)=0,"",MAX(0,SUMIFS(Usage!$C:$C,Usage!$A:$A,$AF376,Usage!$B:$B,"&gt;="&amp;(PlanDate-AduWindow),Usage!$B:$B,"&lt;"&amp;PlanDate))/AduWindow))</f>
        <v/>
      </c>
      <c r="K376" s="18" t="str">
        <f aca="false">IF($A376="","",IF(AND(ISNUMBER($I376),N($I376)&gt;=0),$I376,$J376))</f>
        <v/>
      </c>
      <c r="L376" s="19" t="str">
        <f aca="false">IF($A376="","",IF($K376="","Needs ADU",IF($K376&lt;=0,"No recent demand",IF(N($D376)&lt;=0,"Needs lead time","Planned"))))</f>
        <v/>
      </c>
      <c r="M376" s="8" t="str">
        <f aca="false">IF($A376="","",IF(ISNUMBER(MATCH($C376,Profiles!$A$2:$A$100,0)),$C376,DefaultProfile))</f>
        <v/>
      </c>
      <c r="N376" s="20" t="str">
        <f aca="false">IF($A376="","",INDEX(Profiles!$D$2:$D$100,MATCH($M376,Profiles!$A$2:$A$100,0)))</f>
        <v/>
      </c>
      <c r="O376" s="20" t="str">
        <f aca="false">IF($A376="","",INDEX(Profiles!$E$2:$E$100,MATCH($M376,Profiles!$A$2:$A$100,0)))</f>
        <v/>
      </c>
      <c r="P376" s="21" t="str">
        <f aca="false">IF($L376&lt;&gt;"Planned","",$K376*$D376*$N376*(1+$O376))</f>
        <v/>
      </c>
      <c r="Q376" s="21" t="str">
        <f aca="false">IF($L376&lt;&gt;"Planned","",$K376*$D376)</f>
        <v/>
      </c>
      <c r="R376" s="21" t="str">
        <f aca="false">IF($L376&lt;&gt;"Planned","",MAX(N($E376),$K376*$D376*$N376,$K376*N($G376)))</f>
        <v/>
      </c>
      <c r="S376" s="21" t="str">
        <f aca="false">IF($L376&lt;&gt;"Planned","",$P376)</f>
        <v/>
      </c>
      <c r="T376" s="21" t="str">
        <f aca="false">IF($L376&lt;&gt;"Planned","",$P376+$Q376)</f>
        <v/>
      </c>
      <c r="U376" s="21" t="str">
        <f aca="false">IF($L376&lt;&gt;"Planned","",$T376+$R376)</f>
        <v/>
      </c>
      <c r="V376" s="8" t="str">
        <f aca="false">IF($A376="","",SUMIFS('Open supply'!$C:$C,'Open supply'!$A:$A,$AF376))</f>
        <v/>
      </c>
      <c r="W376" s="8" t="str">
        <f aca="false">IF($A376="","",SUMIFS('Open supply'!$C:$C,'Open supply'!$A:$A,$AF376,'Open supply'!$B:$B,"&lt;"&amp;PlanDate))</f>
        <v/>
      </c>
      <c r="X376" s="8" t="str">
        <f aca="false">IF($A376="","",SUMIFS('Open demand'!$G:$G,'Open demand'!$A:$A,$AF376))</f>
        <v/>
      </c>
      <c r="Y376" s="8" t="str">
        <f aca="false">IF($L376&lt;&gt;"Planned","",N($H376)+$V376-$X376)</f>
        <v/>
      </c>
      <c r="Z376" s="19" t="str">
        <f aca="false">IF($L376&lt;&gt;"Planned","",IF($Y376&lt;=$S376,"Red",IF($Y376&lt;=$T376,"Yellow",IF($Y376&lt;=$U376,"Green","Above green"))))</f>
        <v/>
      </c>
      <c r="AA376" s="22" t="str">
        <f aca="false">IF(OR($L376&lt;&gt;"Planned",N($U376)&lt;=0),"",$Y376/$U376)</f>
        <v/>
      </c>
      <c r="AB376" s="8" t="str">
        <f aca="false">IF($L376&lt;&gt;"Planned","",IF($Y376&lt;=$T376,ROUNDUP(MAX($U376-$Y376,N($E376))/IF(N($F376)&gt;0,$F376,1)-0.000000001,0)*IF(N($F376)&gt;0,$F376,1),""))</f>
        <v/>
      </c>
      <c r="AC376" s="23" t="str">
        <f aca="false">IF(N($AB376)&gt;0,PlanDate+ROUNDUP($D376,0),"")</f>
        <v/>
      </c>
      <c r="AD376" s="19" t="str">
        <f aca="false">IF($L376&lt;&gt;"Planned","",IF(N($H376)&lt;=0,"Stockout",IF(N($H376)&lt;$S376*0.5,"Critical",IF(N($H376)&lt;=$S376,"Low",IF(N($H376)&gt;$U376,"Over top of green","OK")))))</f>
        <v/>
      </c>
      <c r="AE376" s="8" t="str">
        <f aca="false">IF($A376="","",$A376&amp;"")</f>
        <v/>
      </c>
      <c r="AF376" s="8" t="str">
        <f aca="false">IF($A376="","",SUBSTITUTE(SUBSTITUTE(SUBSTITUTE($A376&amp;"","~","~~"),"*","~*"),"?","~?"))</f>
        <v/>
      </c>
    </row>
    <row r="377" customFormat="false" ht="15" hidden="false" customHeight="false" outlineLevel="0" collapsed="false">
      <c r="A377" s="11"/>
      <c r="B377" s="11"/>
      <c r="C377" s="11"/>
      <c r="D377" s="16"/>
      <c r="E377" s="11"/>
      <c r="F377" s="11"/>
      <c r="G377" s="9"/>
      <c r="H377" s="11"/>
      <c r="I377" s="17"/>
      <c r="J377" s="18" t="str">
        <f aca="false">IF($A377="","",IF(COUNT(Usage!$C:$C)=0,"",MAX(0,SUMIFS(Usage!$C:$C,Usage!$A:$A,$AF377,Usage!$B:$B,"&gt;="&amp;(PlanDate-AduWindow),Usage!$B:$B,"&lt;"&amp;PlanDate))/AduWindow))</f>
        <v/>
      </c>
      <c r="K377" s="18" t="str">
        <f aca="false">IF($A377="","",IF(AND(ISNUMBER($I377),N($I377)&gt;=0),$I377,$J377))</f>
        <v/>
      </c>
      <c r="L377" s="19" t="str">
        <f aca="false">IF($A377="","",IF($K377="","Needs ADU",IF($K377&lt;=0,"No recent demand",IF(N($D377)&lt;=0,"Needs lead time","Planned"))))</f>
        <v/>
      </c>
      <c r="M377" s="8" t="str">
        <f aca="false">IF($A377="","",IF(ISNUMBER(MATCH($C377,Profiles!$A$2:$A$100,0)),$C377,DefaultProfile))</f>
        <v/>
      </c>
      <c r="N377" s="20" t="str">
        <f aca="false">IF($A377="","",INDEX(Profiles!$D$2:$D$100,MATCH($M377,Profiles!$A$2:$A$100,0)))</f>
        <v/>
      </c>
      <c r="O377" s="20" t="str">
        <f aca="false">IF($A377="","",INDEX(Profiles!$E$2:$E$100,MATCH($M377,Profiles!$A$2:$A$100,0)))</f>
        <v/>
      </c>
      <c r="P377" s="21" t="str">
        <f aca="false">IF($L377&lt;&gt;"Planned","",$K377*$D377*$N377*(1+$O377))</f>
        <v/>
      </c>
      <c r="Q377" s="21" t="str">
        <f aca="false">IF($L377&lt;&gt;"Planned","",$K377*$D377)</f>
        <v/>
      </c>
      <c r="R377" s="21" t="str">
        <f aca="false">IF($L377&lt;&gt;"Planned","",MAX(N($E377),$K377*$D377*$N377,$K377*N($G377)))</f>
        <v/>
      </c>
      <c r="S377" s="21" t="str">
        <f aca="false">IF($L377&lt;&gt;"Planned","",$P377)</f>
        <v/>
      </c>
      <c r="T377" s="21" t="str">
        <f aca="false">IF($L377&lt;&gt;"Planned","",$P377+$Q377)</f>
        <v/>
      </c>
      <c r="U377" s="21" t="str">
        <f aca="false">IF($L377&lt;&gt;"Planned","",$T377+$R377)</f>
        <v/>
      </c>
      <c r="V377" s="8" t="str">
        <f aca="false">IF($A377="","",SUMIFS('Open supply'!$C:$C,'Open supply'!$A:$A,$AF377))</f>
        <v/>
      </c>
      <c r="W377" s="8" t="str">
        <f aca="false">IF($A377="","",SUMIFS('Open supply'!$C:$C,'Open supply'!$A:$A,$AF377,'Open supply'!$B:$B,"&lt;"&amp;PlanDate))</f>
        <v/>
      </c>
      <c r="X377" s="8" t="str">
        <f aca="false">IF($A377="","",SUMIFS('Open demand'!$G:$G,'Open demand'!$A:$A,$AF377))</f>
        <v/>
      </c>
      <c r="Y377" s="8" t="str">
        <f aca="false">IF($L377&lt;&gt;"Planned","",N($H377)+$V377-$X377)</f>
        <v/>
      </c>
      <c r="Z377" s="19" t="str">
        <f aca="false">IF($L377&lt;&gt;"Planned","",IF($Y377&lt;=$S377,"Red",IF($Y377&lt;=$T377,"Yellow",IF($Y377&lt;=$U377,"Green","Above green"))))</f>
        <v/>
      </c>
      <c r="AA377" s="22" t="str">
        <f aca="false">IF(OR($L377&lt;&gt;"Planned",N($U377)&lt;=0),"",$Y377/$U377)</f>
        <v/>
      </c>
      <c r="AB377" s="8" t="str">
        <f aca="false">IF($L377&lt;&gt;"Planned","",IF($Y377&lt;=$T377,ROUNDUP(MAX($U377-$Y377,N($E377))/IF(N($F377)&gt;0,$F377,1)-0.000000001,0)*IF(N($F377)&gt;0,$F377,1),""))</f>
        <v/>
      </c>
      <c r="AC377" s="23" t="str">
        <f aca="false">IF(N($AB377)&gt;0,PlanDate+ROUNDUP($D377,0),"")</f>
        <v/>
      </c>
      <c r="AD377" s="19" t="str">
        <f aca="false">IF($L377&lt;&gt;"Planned","",IF(N($H377)&lt;=0,"Stockout",IF(N($H377)&lt;$S377*0.5,"Critical",IF(N($H377)&lt;=$S377,"Low",IF(N($H377)&gt;$U377,"Over top of green","OK")))))</f>
        <v/>
      </c>
      <c r="AE377" s="8" t="str">
        <f aca="false">IF($A377="","",$A377&amp;"")</f>
        <v/>
      </c>
      <c r="AF377" s="8" t="str">
        <f aca="false">IF($A377="","",SUBSTITUTE(SUBSTITUTE(SUBSTITUTE($A377&amp;"","~","~~"),"*","~*"),"?","~?"))</f>
        <v/>
      </c>
    </row>
    <row r="378" customFormat="false" ht="15" hidden="false" customHeight="false" outlineLevel="0" collapsed="false">
      <c r="A378" s="11"/>
      <c r="B378" s="11"/>
      <c r="C378" s="11"/>
      <c r="D378" s="16"/>
      <c r="E378" s="11"/>
      <c r="F378" s="11"/>
      <c r="G378" s="9"/>
      <c r="H378" s="11"/>
      <c r="I378" s="17"/>
      <c r="J378" s="18" t="str">
        <f aca="false">IF($A378="","",IF(COUNT(Usage!$C:$C)=0,"",MAX(0,SUMIFS(Usage!$C:$C,Usage!$A:$A,$AF378,Usage!$B:$B,"&gt;="&amp;(PlanDate-AduWindow),Usage!$B:$B,"&lt;"&amp;PlanDate))/AduWindow))</f>
        <v/>
      </c>
      <c r="K378" s="18" t="str">
        <f aca="false">IF($A378="","",IF(AND(ISNUMBER($I378),N($I378)&gt;=0),$I378,$J378))</f>
        <v/>
      </c>
      <c r="L378" s="19" t="str">
        <f aca="false">IF($A378="","",IF($K378="","Needs ADU",IF($K378&lt;=0,"No recent demand",IF(N($D378)&lt;=0,"Needs lead time","Planned"))))</f>
        <v/>
      </c>
      <c r="M378" s="8" t="str">
        <f aca="false">IF($A378="","",IF(ISNUMBER(MATCH($C378,Profiles!$A$2:$A$100,0)),$C378,DefaultProfile))</f>
        <v/>
      </c>
      <c r="N378" s="20" t="str">
        <f aca="false">IF($A378="","",INDEX(Profiles!$D$2:$D$100,MATCH($M378,Profiles!$A$2:$A$100,0)))</f>
        <v/>
      </c>
      <c r="O378" s="20" t="str">
        <f aca="false">IF($A378="","",INDEX(Profiles!$E$2:$E$100,MATCH($M378,Profiles!$A$2:$A$100,0)))</f>
        <v/>
      </c>
      <c r="P378" s="21" t="str">
        <f aca="false">IF($L378&lt;&gt;"Planned","",$K378*$D378*$N378*(1+$O378))</f>
        <v/>
      </c>
      <c r="Q378" s="21" t="str">
        <f aca="false">IF($L378&lt;&gt;"Planned","",$K378*$D378)</f>
        <v/>
      </c>
      <c r="R378" s="21" t="str">
        <f aca="false">IF($L378&lt;&gt;"Planned","",MAX(N($E378),$K378*$D378*$N378,$K378*N($G378)))</f>
        <v/>
      </c>
      <c r="S378" s="21" t="str">
        <f aca="false">IF($L378&lt;&gt;"Planned","",$P378)</f>
        <v/>
      </c>
      <c r="T378" s="21" t="str">
        <f aca="false">IF($L378&lt;&gt;"Planned","",$P378+$Q378)</f>
        <v/>
      </c>
      <c r="U378" s="21" t="str">
        <f aca="false">IF($L378&lt;&gt;"Planned","",$T378+$R378)</f>
        <v/>
      </c>
      <c r="V378" s="8" t="str">
        <f aca="false">IF($A378="","",SUMIFS('Open supply'!$C:$C,'Open supply'!$A:$A,$AF378))</f>
        <v/>
      </c>
      <c r="W378" s="8" t="str">
        <f aca="false">IF($A378="","",SUMIFS('Open supply'!$C:$C,'Open supply'!$A:$A,$AF378,'Open supply'!$B:$B,"&lt;"&amp;PlanDate))</f>
        <v/>
      </c>
      <c r="X378" s="8" t="str">
        <f aca="false">IF($A378="","",SUMIFS('Open demand'!$G:$G,'Open demand'!$A:$A,$AF378))</f>
        <v/>
      </c>
      <c r="Y378" s="8" t="str">
        <f aca="false">IF($L378&lt;&gt;"Planned","",N($H378)+$V378-$X378)</f>
        <v/>
      </c>
      <c r="Z378" s="19" t="str">
        <f aca="false">IF($L378&lt;&gt;"Planned","",IF($Y378&lt;=$S378,"Red",IF($Y378&lt;=$T378,"Yellow",IF($Y378&lt;=$U378,"Green","Above green"))))</f>
        <v/>
      </c>
      <c r="AA378" s="22" t="str">
        <f aca="false">IF(OR($L378&lt;&gt;"Planned",N($U378)&lt;=0),"",$Y378/$U378)</f>
        <v/>
      </c>
      <c r="AB378" s="8" t="str">
        <f aca="false">IF($L378&lt;&gt;"Planned","",IF($Y378&lt;=$T378,ROUNDUP(MAX($U378-$Y378,N($E378))/IF(N($F378)&gt;0,$F378,1)-0.000000001,0)*IF(N($F378)&gt;0,$F378,1),""))</f>
        <v/>
      </c>
      <c r="AC378" s="23" t="str">
        <f aca="false">IF(N($AB378)&gt;0,PlanDate+ROUNDUP($D378,0),"")</f>
        <v/>
      </c>
      <c r="AD378" s="19" t="str">
        <f aca="false">IF($L378&lt;&gt;"Planned","",IF(N($H378)&lt;=0,"Stockout",IF(N($H378)&lt;$S378*0.5,"Critical",IF(N($H378)&lt;=$S378,"Low",IF(N($H378)&gt;$U378,"Over top of green","OK")))))</f>
        <v/>
      </c>
      <c r="AE378" s="8" t="str">
        <f aca="false">IF($A378="","",$A378&amp;"")</f>
        <v/>
      </c>
      <c r="AF378" s="8" t="str">
        <f aca="false">IF($A378="","",SUBSTITUTE(SUBSTITUTE(SUBSTITUTE($A378&amp;"","~","~~"),"*","~*"),"?","~?"))</f>
        <v/>
      </c>
    </row>
    <row r="379" customFormat="false" ht="15" hidden="false" customHeight="false" outlineLevel="0" collapsed="false">
      <c r="A379" s="11"/>
      <c r="B379" s="11"/>
      <c r="C379" s="11"/>
      <c r="D379" s="16"/>
      <c r="E379" s="11"/>
      <c r="F379" s="11"/>
      <c r="G379" s="9"/>
      <c r="H379" s="11"/>
      <c r="I379" s="17"/>
      <c r="J379" s="18" t="str">
        <f aca="false">IF($A379="","",IF(COUNT(Usage!$C:$C)=0,"",MAX(0,SUMIFS(Usage!$C:$C,Usage!$A:$A,$AF379,Usage!$B:$B,"&gt;="&amp;(PlanDate-AduWindow),Usage!$B:$B,"&lt;"&amp;PlanDate))/AduWindow))</f>
        <v/>
      </c>
      <c r="K379" s="18" t="str">
        <f aca="false">IF($A379="","",IF(AND(ISNUMBER($I379),N($I379)&gt;=0),$I379,$J379))</f>
        <v/>
      </c>
      <c r="L379" s="19" t="str">
        <f aca="false">IF($A379="","",IF($K379="","Needs ADU",IF($K379&lt;=0,"No recent demand",IF(N($D379)&lt;=0,"Needs lead time","Planned"))))</f>
        <v/>
      </c>
      <c r="M379" s="8" t="str">
        <f aca="false">IF($A379="","",IF(ISNUMBER(MATCH($C379,Profiles!$A$2:$A$100,0)),$C379,DefaultProfile))</f>
        <v/>
      </c>
      <c r="N379" s="20" t="str">
        <f aca="false">IF($A379="","",INDEX(Profiles!$D$2:$D$100,MATCH($M379,Profiles!$A$2:$A$100,0)))</f>
        <v/>
      </c>
      <c r="O379" s="20" t="str">
        <f aca="false">IF($A379="","",INDEX(Profiles!$E$2:$E$100,MATCH($M379,Profiles!$A$2:$A$100,0)))</f>
        <v/>
      </c>
      <c r="P379" s="21" t="str">
        <f aca="false">IF($L379&lt;&gt;"Planned","",$K379*$D379*$N379*(1+$O379))</f>
        <v/>
      </c>
      <c r="Q379" s="21" t="str">
        <f aca="false">IF($L379&lt;&gt;"Planned","",$K379*$D379)</f>
        <v/>
      </c>
      <c r="R379" s="21" t="str">
        <f aca="false">IF($L379&lt;&gt;"Planned","",MAX(N($E379),$K379*$D379*$N379,$K379*N($G379)))</f>
        <v/>
      </c>
      <c r="S379" s="21" t="str">
        <f aca="false">IF($L379&lt;&gt;"Planned","",$P379)</f>
        <v/>
      </c>
      <c r="T379" s="21" t="str">
        <f aca="false">IF($L379&lt;&gt;"Planned","",$P379+$Q379)</f>
        <v/>
      </c>
      <c r="U379" s="21" t="str">
        <f aca="false">IF($L379&lt;&gt;"Planned","",$T379+$R379)</f>
        <v/>
      </c>
      <c r="V379" s="8" t="str">
        <f aca="false">IF($A379="","",SUMIFS('Open supply'!$C:$C,'Open supply'!$A:$A,$AF379))</f>
        <v/>
      </c>
      <c r="W379" s="8" t="str">
        <f aca="false">IF($A379="","",SUMIFS('Open supply'!$C:$C,'Open supply'!$A:$A,$AF379,'Open supply'!$B:$B,"&lt;"&amp;PlanDate))</f>
        <v/>
      </c>
      <c r="X379" s="8" t="str">
        <f aca="false">IF($A379="","",SUMIFS('Open demand'!$G:$G,'Open demand'!$A:$A,$AF379))</f>
        <v/>
      </c>
      <c r="Y379" s="8" t="str">
        <f aca="false">IF($L379&lt;&gt;"Planned","",N($H379)+$V379-$X379)</f>
        <v/>
      </c>
      <c r="Z379" s="19" t="str">
        <f aca="false">IF($L379&lt;&gt;"Planned","",IF($Y379&lt;=$S379,"Red",IF($Y379&lt;=$T379,"Yellow",IF($Y379&lt;=$U379,"Green","Above green"))))</f>
        <v/>
      </c>
      <c r="AA379" s="22" t="str">
        <f aca="false">IF(OR($L379&lt;&gt;"Planned",N($U379)&lt;=0),"",$Y379/$U379)</f>
        <v/>
      </c>
      <c r="AB379" s="8" t="str">
        <f aca="false">IF($L379&lt;&gt;"Planned","",IF($Y379&lt;=$T379,ROUNDUP(MAX($U379-$Y379,N($E379))/IF(N($F379)&gt;0,$F379,1)-0.000000001,0)*IF(N($F379)&gt;0,$F379,1),""))</f>
        <v/>
      </c>
      <c r="AC379" s="23" t="str">
        <f aca="false">IF(N($AB379)&gt;0,PlanDate+ROUNDUP($D379,0),"")</f>
        <v/>
      </c>
      <c r="AD379" s="19" t="str">
        <f aca="false">IF($L379&lt;&gt;"Planned","",IF(N($H379)&lt;=0,"Stockout",IF(N($H379)&lt;$S379*0.5,"Critical",IF(N($H379)&lt;=$S379,"Low",IF(N($H379)&gt;$U379,"Over top of green","OK")))))</f>
        <v/>
      </c>
      <c r="AE379" s="8" t="str">
        <f aca="false">IF($A379="","",$A379&amp;"")</f>
        <v/>
      </c>
      <c r="AF379" s="8" t="str">
        <f aca="false">IF($A379="","",SUBSTITUTE(SUBSTITUTE(SUBSTITUTE($A379&amp;"","~","~~"),"*","~*"),"?","~?"))</f>
        <v/>
      </c>
    </row>
    <row r="380" customFormat="false" ht="15" hidden="false" customHeight="false" outlineLevel="0" collapsed="false">
      <c r="A380" s="11"/>
      <c r="B380" s="11"/>
      <c r="C380" s="11"/>
      <c r="D380" s="16"/>
      <c r="E380" s="11"/>
      <c r="F380" s="11"/>
      <c r="G380" s="9"/>
      <c r="H380" s="11"/>
      <c r="I380" s="17"/>
      <c r="J380" s="18" t="str">
        <f aca="false">IF($A380="","",IF(COUNT(Usage!$C:$C)=0,"",MAX(0,SUMIFS(Usage!$C:$C,Usage!$A:$A,$AF380,Usage!$B:$B,"&gt;="&amp;(PlanDate-AduWindow),Usage!$B:$B,"&lt;"&amp;PlanDate))/AduWindow))</f>
        <v/>
      </c>
      <c r="K380" s="18" t="str">
        <f aca="false">IF($A380="","",IF(AND(ISNUMBER($I380),N($I380)&gt;=0),$I380,$J380))</f>
        <v/>
      </c>
      <c r="L380" s="19" t="str">
        <f aca="false">IF($A380="","",IF($K380="","Needs ADU",IF($K380&lt;=0,"No recent demand",IF(N($D380)&lt;=0,"Needs lead time","Planned"))))</f>
        <v/>
      </c>
      <c r="M380" s="8" t="str">
        <f aca="false">IF($A380="","",IF(ISNUMBER(MATCH($C380,Profiles!$A$2:$A$100,0)),$C380,DefaultProfile))</f>
        <v/>
      </c>
      <c r="N380" s="20" t="str">
        <f aca="false">IF($A380="","",INDEX(Profiles!$D$2:$D$100,MATCH($M380,Profiles!$A$2:$A$100,0)))</f>
        <v/>
      </c>
      <c r="O380" s="20" t="str">
        <f aca="false">IF($A380="","",INDEX(Profiles!$E$2:$E$100,MATCH($M380,Profiles!$A$2:$A$100,0)))</f>
        <v/>
      </c>
      <c r="P380" s="21" t="str">
        <f aca="false">IF($L380&lt;&gt;"Planned","",$K380*$D380*$N380*(1+$O380))</f>
        <v/>
      </c>
      <c r="Q380" s="21" t="str">
        <f aca="false">IF($L380&lt;&gt;"Planned","",$K380*$D380)</f>
        <v/>
      </c>
      <c r="R380" s="21" t="str">
        <f aca="false">IF($L380&lt;&gt;"Planned","",MAX(N($E380),$K380*$D380*$N380,$K380*N($G380)))</f>
        <v/>
      </c>
      <c r="S380" s="21" t="str">
        <f aca="false">IF($L380&lt;&gt;"Planned","",$P380)</f>
        <v/>
      </c>
      <c r="T380" s="21" t="str">
        <f aca="false">IF($L380&lt;&gt;"Planned","",$P380+$Q380)</f>
        <v/>
      </c>
      <c r="U380" s="21" t="str">
        <f aca="false">IF($L380&lt;&gt;"Planned","",$T380+$R380)</f>
        <v/>
      </c>
      <c r="V380" s="8" t="str">
        <f aca="false">IF($A380="","",SUMIFS('Open supply'!$C:$C,'Open supply'!$A:$A,$AF380))</f>
        <v/>
      </c>
      <c r="W380" s="8" t="str">
        <f aca="false">IF($A380="","",SUMIFS('Open supply'!$C:$C,'Open supply'!$A:$A,$AF380,'Open supply'!$B:$B,"&lt;"&amp;PlanDate))</f>
        <v/>
      </c>
      <c r="X380" s="8" t="str">
        <f aca="false">IF($A380="","",SUMIFS('Open demand'!$G:$G,'Open demand'!$A:$A,$AF380))</f>
        <v/>
      </c>
      <c r="Y380" s="8" t="str">
        <f aca="false">IF($L380&lt;&gt;"Planned","",N($H380)+$V380-$X380)</f>
        <v/>
      </c>
      <c r="Z380" s="19" t="str">
        <f aca="false">IF($L380&lt;&gt;"Planned","",IF($Y380&lt;=$S380,"Red",IF($Y380&lt;=$T380,"Yellow",IF($Y380&lt;=$U380,"Green","Above green"))))</f>
        <v/>
      </c>
      <c r="AA380" s="22" t="str">
        <f aca="false">IF(OR($L380&lt;&gt;"Planned",N($U380)&lt;=0),"",$Y380/$U380)</f>
        <v/>
      </c>
      <c r="AB380" s="8" t="str">
        <f aca="false">IF($L380&lt;&gt;"Planned","",IF($Y380&lt;=$T380,ROUNDUP(MAX($U380-$Y380,N($E380))/IF(N($F380)&gt;0,$F380,1)-0.000000001,0)*IF(N($F380)&gt;0,$F380,1),""))</f>
        <v/>
      </c>
      <c r="AC380" s="23" t="str">
        <f aca="false">IF(N($AB380)&gt;0,PlanDate+ROUNDUP($D380,0),"")</f>
        <v/>
      </c>
      <c r="AD380" s="19" t="str">
        <f aca="false">IF($L380&lt;&gt;"Planned","",IF(N($H380)&lt;=0,"Stockout",IF(N($H380)&lt;$S380*0.5,"Critical",IF(N($H380)&lt;=$S380,"Low",IF(N($H380)&gt;$U380,"Over top of green","OK")))))</f>
        <v/>
      </c>
      <c r="AE380" s="8" t="str">
        <f aca="false">IF($A380="","",$A380&amp;"")</f>
        <v/>
      </c>
      <c r="AF380" s="8" t="str">
        <f aca="false">IF($A380="","",SUBSTITUTE(SUBSTITUTE(SUBSTITUTE($A380&amp;"","~","~~"),"*","~*"),"?","~?"))</f>
        <v/>
      </c>
    </row>
    <row r="381" customFormat="false" ht="15" hidden="false" customHeight="false" outlineLevel="0" collapsed="false">
      <c r="A381" s="11"/>
      <c r="B381" s="11"/>
      <c r="C381" s="11"/>
      <c r="D381" s="16"/>
      <c r="E381" s="11"/>
      <c r="F381" s="11"/>
      <c r="G381" s="9"/>
      <c r="H381" s="11"/>
      <c r="I381" s="17"/>
      <c r="J381" s="18" t="str">
        <f aca="false">IF($A381="","",IF(COUNT(Usage!$C:$C)=0,"",MAX(0,SUMIFS(Usage!$C:$C,Usage!$A:$A,$AF381,Usage!$B:$B,"&gt;="&amp;(PlanDate-AduWindow),Usage!$B:$B,"&lt;"&amp;PlanDate))/AduWindow))</f>
        <v/>
      </c>
      <c r="K381" s="18" t="str">
        <f aca="false">IF($A381="","",IF(AND(ISNUMBER($I381),N($I381)&gt;=0),$I381,$J381))</f>
        <v/>
      </c>
      <c r="L381" s="19" t="str">
        <f aca="false">IF($A381="","",IF($K381="","Needs ADU",IF($K381&lt;=0,"No recent demand",IF(N($D381)&lt;=0,"Needs lead time","Planned"))))</f>
        <v/>
      </c>
      <c r="M381" s="8" t="str">
        <f aca="false">IF($A381="","",IF(ISNUMBER(MATCH($C381,Profiles!$A$2:$A$100,0)),$C381,DefaultProfile))</f>
        <v/>
      </c>
      <c r="N381" s="20" t="str">
        <f aca="false">IF($A381="","",INDEX(Profiles!$D$2:$D$100,MATCH($M381,Profiles!$A$2:$A$100,0)))</f>
        <v/>
      </c>
      <c r="O381" s="20" t="str">
        <f aca="false">IF($A381="","",INDEX(Profiles!$E$2:$E$100,MATCH($M381,Profiles!$A$2:$A$100,0)))</f>
        <v/>
      </c>
      <c r="P381" s="21" t="str">
        <f aca="false">IF($L381&lt;&gt;"Planned","",$K381*$D381*$N381*(1+$O381))</f>
        <v/>
      </c>
      <c r="Q381" s="21" t="str">
        <f aca="false">IF($L381&lt;&gt;"Planned","",$K381*$D381)</f>
        <v/>
      </c>
      <c r="R381" s="21" t="str">
        <f aca="false">IF($L381&lt;&gt;"Planned","",MAX(N($E381),$K381*$D381*$N381,$K381*N($G381)))</f>
        <v/>
      </c>
      <c r="S381" s="21" t="str">
        <f aca="false">IF($L381&lt;&gt;"Planned","",$P381)</f>
        <v/>
      </c>
      <c r="T381" s="21" t="str">
        <f aca="false">IF($L381&lt;&gt;"Planned","",$P381+$Q381)</f>
        <v/>
      </c>
      <c r="U381" s="21" t="str">
        <f aca="false">IF($L381&lt;&gt;"Planned","",$T381+$R381)</f>
        <v/>
      </c>
      <c r="V381" s="8" t="str">
        <f aca="false">IF($A381="","",SUMIFS('Open supply'!$C:$C,'Open supply'!$A:$A,$AF381))</f>
        <v/>
      </c>
      <c r="W381" s="8" t="str">
        <f aca="false">IF($A381="","",SUMIFS('Open supply'!$C:$C,'Open supply'!$A:$A,$AF381,'Open supply'!$B:$B,"&lt;"&amp;PlanDate))</f>
        <v/>
      </c>
      <c r="X381" s="8" t="str">
        <f aca="false">IF($A381="","",SUMIFS('Open demand'!$G:$G,'Open demand'!$A:$A,$AF381))</f>
        <v/>
      </c>
      <c r="Y381" s="8" t="str">
        <f aca="false">IF($L381&lt;&gt;"Planned","",N($H381)+$V381-$X381)</f>
        <v/>
      </c>
      <c r="Z381" s="19" t="str">
        <f aca="false">IF($L381&lt;&gt;"Planned","",IF($Y381&lt;=$S381,"Red",IF($Y381&lt;=$T381,"Yellow",IF($Y381&lt;=$U381,"Green","Above green"))))</f>
        <v/>
      </c>
      <c r="AA381" s="22" t="str">
        <f aca="false">IF(OR($L381&lt;&gt;"Planned",N($U381)&lt;=0),"",$Y381/$U381)</f>
        <v/>
      </c>
      <c r="AB381" s="8" t="str">
        <f aca="false">IF($L381&lt;&gt;"Planned","",IF($Y381&lt;=$T381,ROUNDUP(MAX($U381-$Y381,N($E381))/IF(N($F381)&gt;0,$F381,1)-0.000000001,0)*IF(N($F381)&gt;0,$F381,1),""))</f>
        <v/>
      </c>
      <c r="AC381" s="23" t="str">
        <f aca="false">IF(N($AB381)&gt;0,PlanDate+ROUNDUP($D381,0),"")</f>
        <v/>
      </c>
      <c r="AD381" s="19" t="str">
        <f aca="false">IF($L381&lt;&gt;"Planned","",IF(N($H381)&lt;=0,"Stockout",IF(N($H381)&lt;$S381*0.5,"Critical",IF(N($H381)&lt;=$S381,"Low",IF(N($H381)&gt;$U381,"Over top of green","OK")))))</f>
        <v/>
      </c>
      <c r="AE381" s="8" t="str">
        <f aca="false">IF($A381="","",$A381&amp;"")</f>
        <v/>
      </c>
      <c r="AF381" s="8" t="str">
        <f aca="false">IF($A381="","",SUBSTITUTE(SUBSTITUTE(SUBSTITUTE($A381&amp;"","~","~~"),"*","~*"),"?","~?"))</f>
        <v/>
      </c>
    </row>
    <row r="382" customFormat="false" ht="15" hidden="false" customHeight="false" outlineLevel="0" collapsed="false">
      <c r="A382" s="11"/>
      <c r="B382" s="11"/>
      <c r="C382" s="11"/>
      <c r="D382" s="16"/>
      <c r="E382" s="11"/>
      <c r="F382" s="11"/>
      <c r="G382" s="9"/>
      <c r="H382" s="11"/>
      <c r="I382" s="17"/>
      <c r="J382" s="18" t="str">
        <f aca="false">IF($A382="","",IF(COUNT(Usage!$C:$C)=0,"",MAX(0,SUMIFS(Usage!$C:$C,Usage!$A:$A,$AF382,Usage!$B:$B,"&gt;="&amp;(PlanDate-AduWindow),Usage!$B:$B,"&lt;"&amp;PlanDate))/AduWindow))</f>
        <v/>
      </c>
      <c r="K382" s="18" t="str">
        <f aca="false">IF($A382="","",IF(AND(ISNUMBER($I382),N($I382)&gt;=0),$I382,$J382))</f>
        <v/>
      </c>
      <c r="L382" s="19" t="str">
        <f aca="false">IF($A382="","",IF($K382="","Needs ADU",IF($K382&lt;=0,"No recent demand",IF(N($D382)&lt;=0,"Needs lead time","Planned"))))</f>
        <v/>
      </c>
      <c r="M382" s="8" t="str">
        <f aca="false">IF($A382="","",IF(ISNUMBER(MATCH($C382,Profiles!$A$2:$A$100,0)),$C382,DefaultProfile))</f>
        <v/>
      </c>
      <c r="N382" s="20" t="str">
        <f aca="false">IF($A382="","",INDEX(Profiles!$D$2:$D$100,MATCH($M382,Profiles!$A$2:$A$100,0)))</f>
        <v/>
      </c>
      <c r="O382" s="20" t="str">
        <f aca="false">IF($A382="","",INDEX(Profiles!$E$2:$E$100,MATCH($M382,Profiles!$A$2:$A$100,0)))</f>
        <v/>
      </c>
      <c r="P382" s="21" t="str">
        <f aca="false">IF($L382&lt;&gt;"Planned","",$K382*$D382*$N382*(1+$O382))</f>
        <v/>
      </c>
      <c r="Q382" s="21" t="str">
        <f aca="false">IF($L382&lt;&gt;"Planned","",$K382*$D382)</f>
        <v/>
      </c>
      <c r="R382" s="21" t="str">
        <f aca="false">IF($L382&lt;&gt;"Planned","",MAX(N($E382),$K382*$D382*$N382,$K382*N($G382)))</f>
        <v/>
      </c>
      <c r="S382" s="21" t="str">
        <f aca="false">IF($L382&lt;&gt;"Planned","",$P382)</f>
        <v/>
      </c>
      <c r="T382" s="21" t="str">
        <f aca="false">IF($L382&lt;&gt;"Planned","",$P382+$Q382)</f>
        <v/>
      </c>
      <c r="U382" s="21" t="str">
        <f aca="false">IF($L382&lt;&gt;"Planned","",$T382+$R382)</f>
        <v/>
      </c>
      <c r="V382" s="8" t="str">
        <f aca="false">IF($A382="","",SUMIFS('Open supply'!$C:$C,'Open supply'!$A:$A,$AF382))</f>
        <v/>
      </c>
      <c r="W382" s="8" t="str">
        <f aca="false">IF($A382="","",SUMIFS('Open supply'!$C:$C,'Open supply'!$A:$A,$AF382,'Open supply'!$B:$B,"&lt;"&amp;PlanDate))</f>
        <v/>
      </c>
      <c r="X382" s="8" t="str">
        <f aca="false">IF($A382="","",SUMIFS('Open demand'!$G:$G,'Open demand'!$A:$A,$AF382))</f>
        <v/>
      </c>
      <c r="Y382" s="8" t="str">
        <f aca="false">IF($L382&lt;&gt;"Planned","",N($H382)+$V382-$X382)</f>
        <v/>
      </c>
      <c r="Z382" s="19" t="str">
        <f aca="false">IF($L382&lt;&gt;"Planned","",IF($Y382&lt;=$S382,"Red",IF($Y382&lt;=$T382,"Yellow",IF($Y382&lt;=$U382,"Green","Above green"))))</f>
        <v/>
      </c>
      <c r="AA382" s="22" t="str">
        <f aca="false">IF(OR($L382&lt;&gt;"Planned",N($U382)&lt;=0),"",$Y382/$U382)</f>
        <v/>
      </c>
      <c r="AB382" s="8" t="str">
        <f aca="false">IF($L382&lt;&gt;"Planned","",IF($Y382&lt;=$T382,ROUNDUP(MAX($U382-$Y382,N($E382))/IF(N($F382)&gt;0,$F382,1)-0.000000001,0)*IF(N($F382)&gt;0,$F382,1),""))</f>
        <v/>
      </c>
      <c r="AC382" s="23" t="str">
        <f aca="false">IF(N($AB382)&gt;0,PlanDate+ROUNDUP($D382,0),"")</f>
        <v/>
      </c>
      <c r="AD382" s="19" t="str">
        <f aca="false">IF($L382&lt;&gt;"Planned","",IF(N($H382)&lt;=0,"Stockout",IF(N($H382)&lt;$S382*0.5,"Critical",IF(N($H382)&lt;=$S382,"Low",IF(N($H382)&gt;$U382,"Over top of green","OK")))))</f>
        <v/>
      </c>
      <c r="AE382" s="8" t="str">
        <f aca="false">IF($A382="","",$A382&amp;"")</f>
        <v/>
      </c>
      <c r="AF382" s="8" t="str">
        <f aca="false">IF($A382="","",SUBSTITUTE(SUBSTITUTE(SUBSTITUTE($A382&amp;"","~","~~"),"*","~*"),"?","~?"))</f>
        <v/>
      </c>
    </row>
    <row r="383" customFormat="false" ht="15" hidden="false" customHeight="false" outlineLevel="0" collapsed="false">
      <c r="A383" s="11"/>
      <c r="B383" s="11"/>
      <c r="C383" s="11"/>
      <c r="D383" s="16"/>
      <c r="E383" s="11"/>
      <c r="F383" s="11"/>
      <c r="G383" s="9"/>
      <c r="H383" s="11"/>
      <c r="I383" s="17"/>
      <c r="J383" s="18" t="str">
        <f aca="false">IF($A383="","",IF(COUNT(Usage!$C:$C)=0,"",MAX(0,SUMIFS(Usage!$C:$C,Usage!$A:$A,$AF383,Usage!$B:$B,"&gt;="&amp;(PlanDate-AduWindow),Usage!$B:$B,"&lt;"&amp;PlanDate))/AduWindow))</f>
        <v/>
      </c>
      <c r="K383" s="18" t="str">
        <f aca="false">IF($A383="","",IF(AND(ISNUMBER($I383),N($I383)&gt;=0),$I383,$J383))</f>
        <v/>
      </c>
      <c r="L383" s="19" t="str">
        <f aca="false">IF($A383="","",IF($K383="","Needs ADU",IF($K383&lt;=0,"No recent demand",IF(N($D383)&lt;=0,"Needs lead time","Planned"))))</f>
        <v/>
      </c>
      <c r="M383" s="8" t="str">
        <f aca="false">IF($A383="","",IF(ISNUMBER(MATCH($C383,Profiles!$A$2:$A$100,0)),$C383,DefaultProfile))</f>
        <v/>
      </c>
      <c r="N383" s="20" t="str">
        <f aca="false">IF($A383="","",INDEX(Profiles!$D$2:$D$100,MATCH($M383,Profiles!$A$2:$A$100,0)))</f>
        <v/>
      </c>
      <c r="O383" s="20" t="str">
        <f aca="false">IF($A383="","",INDEX(Profiles!$E$2:$E$100,MATCH($M383,Profiles!$A$2:$A$100,0)))</f>
        <v/>
      </c>
      <c r="P383" s="21" t="str">
        <f aca="false">IF($L383&lt;&gt;"Planned","",$K383*$D383*$N383*(1+$O383))</f>
        <v/>
      </c>
      <c r="Q383" s="21" t="str">
        <f aca="false">IF($L383&lt;&gt;"Planned","",$K383*$D383)</f>
        <v/>
      </c>
      <c r="R383" s="21" t="str">
        <f aca="false">IF($L383&lt;&gt;"Planned","",MAX(N($E383),$K383*$D383*$N383,$K383*N($G383)))</f>
        <v/>
      </c>
      <c r="S383" s="21" t="str">
        <f aca="false">IF($L383&lt;&gt;"Planned","",$P383)</f>
        <v/>
      </c>
      <c r="T383" s="21" t="str">
        <f aca="false">IF($L383&lt;&gt;"Planned","",$P383+$Q383)</f>
        <v/>
      </c>
      <c r="U383" s="21" t="str">
        <f aca="false">IF($L383&lt;&gt;"Planned","",$T383+$R383)</f>
        <v/>
      </c>
      <c r="V383" s="8" t="str">
        <f aca="false">IF($A383="","",SUMIFS('Open supply'!$C:$C,'Open supply'!$A:$A,$AF383))</f>
        <v/>
      </c>
      <c r="W383" s="8" t="str">
        <f aca="false">IF($A383="","",SUMIFS('Open supply'!$C:$C,'Open supply'!$A:$A,$AF383,'Open supply'!$B:$B,"&lt;"&amp;PlanDate))</f>
        <v/>
      </c>
      <c r="X383" s="8" t="str">
        <f aca="false">IF($A383="","",SUMIFS('Open demand'!$G:$G,'Open demand'!$A:$A,$AF383))</f>
        <v/>
      </c>
      <c r="Y383" s="8" t="str">
        <f aca="false">IF($L383&lt;&gt;"Planned","",N($H383)+$V383-$X383)</f>
        <v/>
      </c>
      <c r="Z383" s="19" t="str">
        <f aca="false">IF($L383&lt;&gt;"Planned","",IF($Y383&lt;=$S383,"Red",IF($Y383&lt;=$T383,"Yellow",IF($Y383&lt;=$U383,"Green","Above green"))))</f>
        <v/>
      </c>
      <c r="AA383" s="22" t="str">
        <f aca="false">IF(OR($L383&lt;&gt;"Planned",N($U383)&lt;=0),"",$Y383/$U383)</f>
        <v/>
      </c>
      <c r="AB383" s="8" t="str">
        <f aca="false">IF($L383&lt;&gt;"Planned","",IF($Y383&lt;=$T383,ROUNDUP(MAX($U383-$Y383,N($E383))/IF(N($F383)&gt;0,$F383,1)-0.000000001,0)*IF(N($F383)&gt;0,$F383,1),""))</f>
        <v/>
      </c>
      <c r="AC383" s="23" t="str">
        <f aca="false">IF(N($AB383)&gt;0,PlanDate+ROUNDUP($D383,0),"")</f>
        <v/>
      </c>
      <c r="AD383" s="19" t="str">
        <f aca="false">IF($L383&lt;&gt;"Planned","",IF(N($H383)&lt;=0,"Stockout",IF(N($H383)&lt;$S383*0.5,"Critical",IF(N($H383)&lt;=$S383,"Low",IF(N($H383)&gt;$U383,"Over top of green","OK")))))</f>
        <v/>
      </c>
      <c r="AE383" s="8" t="str">
        <f aca="false">IF($A383="","",$A383&amp;"")</f>
        <v/>
      </c>
      <c r="AF383" s="8" t="str">
        <f aca="false">IF($A383="","",SUBSTITUTE(SUBSTITUTE(SUBSTITUTE($A383&amp;"","~","~~"),"*","~*"),"?","~?"))</f>
        <v/>
      </c>
    </row>
    <row r="384" customFormat="false" ht="15" hidden="false" customHeight="false" outlineLevel="0" collapsed="false">
      <c r="A384" s="11"/>
      <c r="B384" s="11"/>
      <c r="C384" s="11"/>
      <c r="D384" s="16"/>
      <c r="E384" s="11"/>
      <c r="F384" s="11"/>
      <c r="G384" s="9"/>
      <c r="H384" s="11"/>
      <c r="I384" s="17"/>
      <c r="J384" s="18" t="str">
        <f aca="false">IF($A384="","",IF(COUNT(Usage!$C:$C)=0,"",MAX(0,SUMIFS(Usage!$C:$C,Usage!$A:$A,$AF384,Usage!$B:$B,"&gt;="&amp;(PlanDate-AduWindow),Usage!$B:$B,"&lt;"&amp;PlanDate))/AduWindow))</f>
        <v/>
      </c>
      <c r="K384" s="18" t="str">
        <f aca="false">IF($A384="","",IF(AND(ISNUMBER($I384),N($I384)&gt;=0),$I384,$J384))</f>
        <v/>
      </c>
      <c r="L384" s="19" t="str">
        <f aca="false">IF($A384="","",IF($K384="","Needs ADU",IF($K384&lt;=0,"No recent demand",IF(N($D384)&lt;=0,"Needs lead time","Planned"))))</f>
        <v/>
      </c>
      <c r="M384" s="8" t="str">
        <f aca="false">IF($A384="","",IF(ISNUMBER(MATCH($C384,Profiles!$A$2:$A$100,0)),$C384,DefaultProfile))</f>
        <v/>
      </c>
      <c r="N384" s="20" t="str">
        <f aca="false">IF($A384="","",INDEX(Profiles!$D$2:$D$100,MATCH($M384,Profiles!$A$2:$A$100,0)))</f>
        <v/>
      </c>
      <c r="O384" s="20" t="str">
        <f aca="false">IF($A384="","",INDEX(Profiles!$E$2:$E$100,MATCH($M384,Profiles!$A$2:$A$100,0)))</f>
        <v/>
      </c>
      <c r="P384" s="21" t="str">
        <f aca="false">IF($L384&lt;&gt;"Planned","",$K384*$D384*$N384*(1+$O384))</f>
        <v/>
      </c>
      <c r="Q384" s="21" t="str">
        <f aca="false">IF($L384&lt;&gt;"Planned","",$K384*$D384)</f>
        <v/>
      </c>
      <c r="R384" s="21" t="str">
        <f aca="false">IF($L384&lt;&gt;"Planned","",MAX(N($E384),$K384*$D384*$N384,$K384*N($G384)))</f>
        <v/>
      </c>
      <c r="S384" s="21" t="str">
        <f aca="false">IF($L384&lt;&gt;"Planned","",$P384)</f>
        <v/>
      </c>
      <c r="T384" s="21" t="str">
        <f aca="false">IF($L384&lt;&gt;"Planned","",$P384+$Q384)</f>
        <v/>
      </c>
      <c r="U384" s="21" t="str">
        <f aca="false">IF($L384&lt;&gt;"Planned","",$T384+$R384)</f>
        <v/>
      </c>
      <c r="V384" s="8" t="str">
        <f aca="false">IF($A384="","",SUMIFS('Open supply'!$C:$C,'Open supply'!$A:$A,$AF384))</f>
        <v/>
      </c>
      <c r="W384" s="8" t="str">
        <f aca="false">IF($A384="","",SUMIFS('Open supply'!$C:$C,'Open supply'!$A:$A,$AF384,'Open supply'!$B:$B,"&lt;"&amp;PlanDate))</f>
        <v/>
      </c>
      <c r="X384" s="8" t="str">
        <f aca="false">IF($A384="","",SUMIFS('Open demand'!$G:$G,'Open demand'!$A:$A,$AF384))</f>
        <v/>
      </c>
      <c r="Y384" s="8" t="str">
        <f aca="false">IF($L384&lt;&gt;"Planned","",N($H384)+$V384-$X384)</f>
        <v/>
      </c>
      <c r="Z384" s="19" t="str">
        <f aca="false">IF($L384&lt;&gt;"Planned","",IF($Y384&lt;=$S384,"Red",IF($Y384&lt;=$T384,"Yellow",IF($Y384&lt;=$U384,"Green","Above green"))))</f>
        <v/>
      </c>
      <c r="AA384" s="22" t="str">
        <f aca="false">IF(OR($L384&lt;&gt;"Planned",N($U384)&lt;=0),"",$Y384/$U384)</f>
        <v/>
      </c>
      <c r="AB384" s="8" t="str">
        <f aca="false">IF($L384&lt;&gt;"Planned","",IF($Y384&lt;=$T384,ROUNDUP(MAX($U384-$Y384,N($E384))/IF(N($F384)&gt;0,$F384,1)-0.000000001,0)*IF(N($F384)&gt;0,$F384,1),""))</f>
        <v/>
      </c>
      <c r="AC384" s="23" t="str">
        <f aca="false">IF(N($AB384)&gt;0,PlanDate+ROUNDUP($D384,0),"")</f>
        <v/>
      </c>
      <c r="AD384" s="19" t="str">
        <f aca="false">IF($L384&lt;&gt;"Planned","",IF(N($H384)&lt;=0,"Stockout",IF(N($H384)&lt;$S384*0.5,"Critical",IF(N($H384)&lt;=$S384,"Low",IF(N($H384)&gt;$U384,"Over top of green","OK")))))</f>
        <v/>
      </c>
      <c r="AE384" s="8" t="str">
        <f aca="false">IF($A384="","",$A384&amp;"")</f>
        <v/>
      </c>
      <c r="AF384" s="8" t="str">
        <f aca="false">IF($A384="","",SUBSTITUTE(SUBSTITUTE(SUBSTITUTE($A384&amp;"","~","~~"),"*","~*"),"?","~?"))</f>
        <v/>
      </c>
    </row>
    <row r="385" customFormat="false" ht="15" hidden="false" customHeight="false" outlineLevel="0" collapsed="false">
      <c r="A385" s="11"/>
      <c r="B385" s="11"/>
      <c r="C385" s="11"/>
      <c r="D385" s="16"/>
      <c r="E385" s="11"/>
      <c r="F385" s="11"/>
      <c r="G385" s="9"/>
      <c r="H385" s="11"/>
      <c r="I385" s="17"/>
      <c r="J385" s="18" t="str">
        <f aca="false">IF($A385="","",IF(COUNT(Usage!$C:$C)=0,"",MAX(0,SUMIFS(Usage!$C:$C,Usage!$A:$A,$AF385,Usage!$B:$B,"&gt;="&amp;(PlanDate-AduWindow),Usage!$B:$B,"&lt;"&amp;PlanDate))/AduWindow))</f>
        <v/>
      </c>
      <c r="K385" s="18" t="str">
        <f aca="false">IF($A385="","",IF(AND(ISNUMBER($I385),N($I385)&gt;=0),$I385,$J385))</f>
        <v/>
      </c>
      <c r="L385" s="19" t="str">
        <f aca="false">IF($A385="","",IF($K385="","Needs ADU",IF($K385&lt;=0,"No recent demand",IF(N($D385)&lt;=0,"Needs lead time","Planned"))))</f>
        <v/>
      </c>
      <c r="M385" s="8" t="str">
        <f aca="false">IF($A385="","",IF(ISNUMBER(MATCH($C385,Profiles!$A$2:$A$100,0)),$C385,DefaultProfile))</f>
        <v/>
      </c>
      <c r="N385" s="20" t="str">
        <f aca="false">IF($A385="","",INDEX(Profiles!$D$2:$D$100,MATCH($M385,Profiles!$A$2:$A$100,0)))</f>
        <v/>
      </c>
      <c r="O385" s="20" t="str">
        <f aca="false">IF($A385="","",INDEX(Profiles!$E$2:$E$100,MATCH($M385,Profiles!$A$2:$A$100,0)))</f>
        <v/>
      </c>
      <c r="P385" s="21" t="str">
        <f aca="false">IF($L385&lt;&gt;"Planned","",$K385*$D385*$N385*(1+$O385))</f>
        <v/>
      </c>
      <c r="Q385" s="21" t="str">
        <f aca="false">IF($L385&lt;&gt;"Planned","",$K385*$D385)</f>
        <v/>
      </c>
      <c r="R385" s="21" t="str">
        <f aca="false">IF($L385&lt;&gt;"Planned","",MAX(N($E385),$K385*$D385*$N385,$K385*N($G385)))</f>
        <v/>
      </c>
      <c r="S385" s="21" t="str">
        <f aca="false">IF($L385&lt;&gt;"Planned","",$P385)</f>
        <v/>
      </c>
      <c r="T385" s="21" t="str">
        <f aca="false">IF($L385&lt;&gt;"Planned","",$P385+$Q385)</f>
        <v/>
      </c>
      <c r="U385" s="21" t="str">
        <f aca="false">IF($L385&lt;&gt;"Planned","",$T385+$R385)</f>
        <v/>
      </c>
      <c r="V385" s="8" t="str">
        <f aca="false">IF($A385="","",SUMIFS('Open supply'!$C:$C,'Open supply'!$A:$A,$AF385))</f>
        <v/>
      </c>
      <c r="W385" s="8" t="str">
        <f aca="false">IF($A385="","",SUMIFS('Open supply'!$C:$C,'Open supply'!$A:$A,$AF385,'Open supply'!$B:$B,"&lt;"&amp;PlanDate))</f>
        <v/>
      </c>
      <c r="X385" s="8" t="str">
        <f aca="false">IF($A385="","",SUMIFS('Open demand'!$G:$G,'Open demand'!$A:$A,$AF385))</f>
        <v/>
      </c>
      <c r="Y385" s="8" t="str">
        <f aca="false">IF($L385&lt;&gt;"Planned","",N($H385)+$V385-$X385)</f>
        <v/>
      </c>
      <c r="Z385" s="19" t="str">
        <f aca="false">IF($L385&lt;&gt;"Planned","",IF($Y385&lt;=$S385,"Red",IF($Y385&lt;=$T385,"Yellow",IF($Y385&lt;=$U385,"Green","Above green"))))</f>
        <v/>
      </c>
      <c r="AA385" s="22" t="str">
        <f aca="false">IF(OR($L385&lt;&gt;"Planned",N($U385)&lt;=0),"",$Y385/$U385)</f>
        <v/>
      </c>
      <c r="AB385" s="8" t="str">
        <f aca="false">IF($L385&lt;&gt;"Planned","",IF($Y385&lt;=$T385,ROUNDUP(MAX($U385-$Y385,N($E385))/IF(N($F385)&gt;0,$F385,1)-0.000000001,0)*IF(N($F385)&gt;0,$F385,1),""))</f>
        <v/>
      </c>
      <c r="AC385" s="23" t="str">
        <f aca="false">IF(N($AB385)&gt;0,PlanDate+ROUNDUP($D385,0),"")</f>
        <v/>
      </c>
      <c r="AD385" s="19" t="str">
        <f aca="false">IF($L385&lt;&gt;"Planned","",IF(N($H385)&lt;=0,"Stockout",IF(N($H385)&lt;$S385*0.5,"Critical",IF(N($H385)&lt;=$S385,"Low",IF(N($H385)&gt;$U385,"Over top of green","OK")))))</f>
        <v/>
      </c>
      <c r="AE385" s="8" t="str">
        <f aca="false">IF($A385="","",$A385&amp;"")</f>
        <v/>
      </c>
      <c r="AF385" s="8" t="str">
        <f aca="false">IF($A385="","",SUBSTITUTE(SUBSTITUTE(SUBSTITUTE($A385&amp;"","~","~~"),"*","~*"),"?","~?"))</f>
        <v/>
      </c>
    </row>
    <row r="386" customFormat="false" ht="15" hidden="false" customHeight="false" outlineLevel="0" collapsed="false">
      <c r="A386" s="11"/>
      <c r="B386" s="11"/>
      <c r="C386" s="11"/>
      <c r="D386" s="16"/>
      <c r="E386" s="11"/>
      <c r="F386" s="11"/>
      <c r="G386" s="9"/>
      <c r="H386" s="11"/>
      <c r="I386" s="17"/>
      <c r="J386" s="18" t="str">
        <f aca="false">IF($A386="","",IF(COUNT(Usage!$C:$C)=0,"",MAX(0,SUMIFS(Usage!$C:$C,Usage!$A:$A,$AF386,Usage!$B:$B,"&gt;="&amp;(PlanDate-AduWindow),Usage!$B:$B,"&lt;"&amp;PlanDate))/AduWindow))</f>
        <v/>
      </c>
      <c r="K386" s="18" t="str">
        <f aca="false">IF($A386="","",IF(AND(ISNUMBER($I386),N($I386)&gt;=0),$I386,$J386))</f>
        <v/>
      </c>
      <c r="L386" s="19" t="str">
        <f aca="false">IF($A386="","",IF($K386="","Needs ADU",IF($K386&lt;=0,"No recent demand",IF(N($D386)&lt;=0,"Needs lead time","Planned"))))</f>
        <v/>
      </c>
      <c r="M386" s="8" t="str">
        <f aca="false">IF($A386="","",IF(ISNUMBER(MATCH($C386,Profiles!$A$2:$A$100,0)),$C386,DefaultProfile))</f>
        <v/>
      </c>
      <c r="N386" s="20" t="str">
        <f aca="false">IF($A386="","",INDEX(Profiles!$D$2:$D$100,MATCH($M386,Profiles!$A$2:$A$100,0)))</f>
        <v/>
      </c>
      <c r="O386" s="20" t="str">
        <f aca="false">IF($A386="","",INDEX(Profiles!$E$2:$E$100,MATCH($M386,Profiles!$A$2:$A$100,0)))</f>
        <v/>
      </c>
      <c r="P386" s="21" t="str">
        <f aca="false">IF($L386&lt;&gt;"Planned","",$K386*$D386*$N386*(1+$O386))</f>
        <v/>
      </c>
      <c r="Q386" s="21" t="str">
        <f aca="false">IF($L386&lt;&gt;"Planned","",$K386*$D386)</f>
        <v/>
      </c>
      <c r="R386" s="21" t="str">
        <f aca="false">IF($L386&lt;&gt;"Planned","",MAX(N($E386),$K386*$D386*$N386,$K386*N($G386)))</f>
        <v/>
      </c>
      <c r="S386" s="21" t="str">
        <f aca="false">IF($L386&lt;&gt;"Planned","",$P386)</f>
        <v/>
      </c>
      <c r="T386" s="21" t="str">
        <f aca="false">IF($L386&lt;&gt;"Planned","",$P386+$Q386)</f>
        <v/>
      </c>
      <c r="U386" s="21" t="str">
        <f aca="false">IF($L386&lt;&gt;"Planned","",$T386+$R386)</f>
        <v/>
      </c>
      <c r="V386" s="8" t="str">
        <f aca="false">IF($A386="","",SUMIFS('Open supply'!$C:$C,'Open supply'!$A:$A,$AF386))</f>
        <v/>
      </c>
      <c r="W386" s="8" t="str">
        <f aca="false">IF($A386="","",SUMIFS('Open supply'!$C:$C,'Open supply'!$A:$A,$AF386,'Open supply'!$B:$B,"&lt;"&amp;PlanDate))</f>
        <v/>
      </c>
      <c r="X386" s="8" t="str">
        <f aca="false">IF($A386="","",SUMIFS('Open demand'!$G:$G,'Open demand'!$A:$A,$AF386))</f>
        <v/>
      </c>
      <c r="Y386" s="8" t="str">
        <f aca="false">IF($L386&lt;&gt;"Planned","",N($H386)+$V386-$X386)</f>
        <v/>
      </c>
      <c r="Z386" s="19" t="str">
        <f aca="false">IF($L386&lt;&gt;"Planned","",IF($Y386&lt;=$S386,"Red",IF($Y386&lt;=$T386,"Yellow",IF($Y386&lt;=$U386,"Green","Above green"))))</f>
        <v/>
      </c>
      <c r="AA386" s="22" t="str">
        <f aca="false">IF(OR($L386&lt;&gt;"Planned",N($U386)&lt;=0),"",$Y386/$U386)</f>
        <v/>
      </c>
      <c r="AB386" s="8" t="str">
        <f aca="false">IF($L386&lt;&gt;"Planned","",IF($Y386&lt;=$T386,ROUNDUP(MAX($U386-$Y386,N($E386))/IF(N($F386)&gt;0,$F386,1)-0.000000001,0)*IF(N($F386)&gt;0,$F386,1),""))</f>
        <v/>
      </c>
      <c r="AC386" s="23" t="str">
        <f aca="false">IF(N($AB386)&gt;0,PlanDate+ROUNDUP($D386,0),"")</f>
        <v/>
      </c>
      <c r="AD386" s="19" t="str">
        <f aca="false">IF($L386&lt;&gt;"Planned","",IF(N($H386)&lt;=0,"Stockout",IF(N($H386)&lt;$S386*0.5,"Critical",IF(N($H386)&lt;=$S386,"Low",IF(N($H386)&gt;$U386,"Over top of green","OK")))))</f>
        <v/>
      </c>
      <c r="AE386" s="8" t="str">
        <f aca="false">IF($A386="","",$A386&amp;"")</f>
        <v/>
      </c>
      <c r="AF386" s="8" t="str">
        <f aca="false">IF($A386="","",SUBSTITUTE(SUBSTITUTE(SUBSTITUTE($A386&amp;"","~","~~"),"*","~*"),"?","~?"))</f>
        <v/>
      </c>
    </row>
    <row r="387" customFormat="false" ht="15" hidden="false" customHeight="false" outlineLevel="0" collapsed="false">
      <c r="A387" s="11"/>
      <c r="B387" s="11"/>
      <c r="C387" s="11"/>
      <c r="D387" s="16"/>
      <c r="E387" s="11"/>
      <c r="F387" s="11"/>
      <c r="G387" s="9"/>
      <c r="H387" s="11"/>
      <c r="I387" s="17"/>
      <c r="J387" s="18" t="str">
        <f aca="false">IF($A387="","",IF(COUNT(Usage!$C:$C)=0,"",MAX(0,SUMIFS(Usage!$C:$C,Usage!$A:$A,$AF387,Usage!$B:$B,"&gt;="&amp;(PlanDate-AduWindow),Usage!$B:$B,"&lt;"&amp;PlanDate))/AduWindow))</f>
        <v/>
      </c>
      <c r="K387" s="18" t="str">
        <f aca="false">IF($A387="","",IF(AND(ISNUMBER($I387),N($I387)&gt;=0),$I387,$J387))</f>
        <v/>
      </c>
      <c r="L387" s="19" t="str">
        <f aca="false">IF($A387="","",IF($K387="","Needs ADU",IF($K387&lt;=0,"No recent demand",IF(N($D387)&lt;=0,"Needs lead time","Planned"))))</f>
        <v/>
      </c>
      <c r="M387" s="8" t="str">
        <f aca="false">IF($A387="","",IF(ISNUMBER(MATCH($C387,Profiles!$A$2:$A$100,0)),$C387,DefaultProfile))</f>
        <v/>
      </c>
      <c r="N387" s="20" t="str">
        <f aca="false">IF($A387="","",INDEX(Profiles!$D$2:$D$100,MATCH($M387,Profiles!$A$2:$A$100,0)))</f>
        <v/>
      </c>
      <c r="O387" s="20" t="str">
        <f aca="false">IF($A387="","",INDEX(Profiles!$E$2:$E$100,MATCH($M387,Profiles!$A$2:$A$100,0)))</f>
        <v/>
      </c>
      <c r="P387" s="21" t="str">
        <f aca="false">IF($L387&lt;&gt;"Planned","",$K387*$D387*$N387*(1+$O387))</f>
        <v/>
      </c>
      <c r="Q387" s="21" t="str">
        <f aca="false">IF($L387&lt;&gt;"Planned","",$K387*$D387)</f>
        <v/>
      </c>
      <c r="R387" s="21" t="str">
        <f aca="false">IF($L387&lt;&gt;"Planned","",MAX(N($E387),$K387*$D387*$N387,$K387*N($G387)))</f>
        <v/>
      </c>
      <c r="S387" s="21" t="str">
        <f aca="false">IF($L387&lt;&gt;"Planned","",$P387)</f>
        <v/>
      </c>
      <c r="T387" s="21" t="str">
        <f aca="false">IF($L387&lt;&gt;"Planned","",$P387+$Q387)</f>
        <v/>
      </c>
      <c r="U387" s="21" t="str">
        <f aca="false">IF($L387&lt;&gt;"Planned","",$T387+$R387)</f>
        <v/>
      </c>
      <c r="V387" s="8" t="str">
        <f aca="false">IF($A387="","",SUMIFS('Open supply'!$C:$C,'Open supply'!$A:$A,$AF387))</f>
        <v/>
      </c>
      <c r="W387" s="8" t="str">
        <f aca="false">IF($A387="","",SUMIFS('Open supply'!$C:$C,'Open supply'!$A:$A,$AF387,'Open supply'!$B:$B,"&lt;"&amp;PlanDate))</f>
        <v/>
      </c>
      <c r="X387" s="8" t="str">
        <f aca="false">IF($A387="","",SUMIFS('Open demand'!$G:$G,'Open demand'!$A:$A,$AF387))</f>
        <v/>
      </c>
      <c r="Y387" s="8" t="str">
        <f aca="false">IF($L387&lt;&gt;"Planned","",N($H387)+$V387-$X387)</f>
        <v/>
      </c>
      <c r="Z387" s="19" t="str">
        <f aca="false">IF($L387&lt;&gt;"Planned","",IF($Y387&lt;=$S387,"Red",IF($Y387&lt;=$T387,"Yellow",IF($Y387&lt;=$U387,"Green","Above green"))))</f>
        <v/>
      </c>
      <c r="AA387" s="22" t="str">
        <f aca="false">IF(OR($L387&lt;&gt;"Planned",N($U387)&lt;=0),"",$Y387/$U387)</f>
        <v/>
      </c>
      <c r="AB387" s="8" t="str">
        <f aca="false">IF($L387&lt;&gt;"Planned","",IF($Y387&lt;=$T387,ROUNDUP(MAX($U387-$Y387,N($E387))/IF(N($F387)&gt;0,$F387,1)-0.000000001,0)*IF(N($F387)&gt;0,$F387,1),""))</f>
        <v/>
      </c>
      <c r="AC387" s="23" t="str">
        <f aca="false">IF(N($AB387)&gt;0,PlanDate+ROUNDUP($D387,0),"")</f>
        <v/>
      </c>
      <c r="AD387" s="19" t="str">
        <f aca="false">IF($L387&lt;&gt;"Planned","",IF(N($H387)&lt;=0,"Stockout",IF(N($H387)&lt;$S387*0.5,"Critical",IF(N($H387)&lt;=$S387,"Low",IF(N($H387)&gt;$U387,"Over top of green","OK")))))</f>
        <v/>
      </c>
      <c r="AE387" s="8" t="str">
        <f aca="false">IF($A387="","",$A387&amp;"")</f>
        <v/>
      </c>
      <c r="AF387" s="8" t="str">
        <f aca="false">IF($A387="","",SUBSTITUTE(SUBSTITUTE(SUBSTITUTE($A387&amp;"","~","~~"),"*","~*"),"?","~?"))</f>
        <v/>
      </c>
    </row>
    <row r="388" customFormat="false" ht="15" hidden="false" customHeight="false" outlineLevel="0" collapsed="false">
      <c r="A388" s="11"/>
      <c r="B388" s="11"/>
      <c r="C388" s="11"/>
      <c r="D388" s="16"/>
      <c r="E388" s="11"/>
      <c r="F388" s="11"/>
      <c r="G388" s="9"/>
      <c r="H388" s="11"/>
      <c r="I388" s="17"/>
      <c r="J388" s="18" t="str">
        <f aca="false">IF($A388="","",IF(COUNT(Usage!$C:$C)=0,"",MAX(0,SUMIFS(Usage!$C:$C,Usage!$A:$A,$AF388,Usage!$B:$B,"&gt;="&amp;(PlanDate-AduWindow),Usage!$B:$B,"&lt;"&amp;PlanDate))/AduWindow))</f>
        <v/>
      </c>
      <c r="K388" s="18" t="str">
        <f aca="false">IF($A388="","",IF(AND(ISNUMBER($I388),N($I388)&gt;=0),$I388,$J388))</f>
        <v/>
      </c>
      <c r="L388" s="19" t="str">
        <f aca="false">IF($A388="","",IF($K388="","Needs ADU",IF($K388&lt;=0,"No recent demand",IF(N($D388)&lt;=0,"Needs lead time","Planned"))))</f>
        <v/>
      </c>
      <c r="M388" s="8" t="str">
        <f aca="false">IF($A388="","",IF(ISNUMBER(MATCH($C388,Profiles!$A$2:$A$100,0)),$C388,DefaultProfile))</f>
        <v/>
      </c>
      <c r="N388" s="20" t="str">
        <f aca="false">IF($A388="","",INDEX(Profiles!$D$2:$D$100,MATCH($M388,Profiles!$A$2:$A$100,0)))</f>
        <v/>
      </c>
      <c r="O388" s="20" t="str">
        <f aca="false">IF($A388="","",INDEX(Profiles!$E$2:$E$100,MATCH($M388,Profiles!$A$2:$A$100,0)))</f>
        <v/>
      </c>
      <c r="P388" s="21" t="str">
        <f aca="false">IF($L388&lt;&gt;"Planned","",$K388*$D388*$N388*(1+$O388))</f>
        <v/>
      </c>
      <c r="Q388" s="21" t="str">
        <f aca="false">IF($L388&lt;&gt;"Planned","",$K388*$D388)</f>
        <v/>
      </c>
      <c r="R388" s="21" t="str">
        <f aca="false">IF($L388&lt;&gt;"Planned","",MAX(N($E388),$K388*$D388*$N388,$K388*N($G388)))</f>
        <v/>
      </c>
      <c r="S388" s="21" t="str">
        <f aca="false">IF($L388&lt;&gt;"Planned","",$P388)</f>
        <v/>
      </c>
      <c r="T388" s="21" t="str">
        <f aca="false">IF($L388&lt;&gt;"Planned","",$P388+$Q388)</f>
        <v/>
      </c>
      <c r="U388" s="21" t="str">
        <f aca="false">IF($L388&lt;&gt;"Planned","",$T388+$R388)</f>
        <v/>
      </c>
      <c r="V388" s="8" t="str">
        <f aca="false">IF($A388="","",SUMIFS('Open supply'!$C:$C,'Open supply'!$A:$A,$AF388))</f>
        <v/>
      </c>
      <c r="W388" s="8" t="str">
        <f aca="false">IF($A388="","",SUMIFS('Open supply'!$C:$C,'Open supply'!$A:$A,$AF388,'Open supply'!$B:$B,"&lt;"&amp;PlanDate))</f>
        <v/>
      </c>
      <c r="X388" s="8" t="str">
        <f aca="false">IF($A388="","",SUMIFS('Open demand'!$G:$G,'Open demand'!$A:$A,$AF388))</f>
        <v/>
      </c>
      <c r="Y388" s="8" t="str">
        <f aca="false">IF($L388&lt;&gt;"Planned","",N($H388)+$V388-$X388)</f>
        <v/>
      </c>
      <c r="Z388" s="19" t="str">
        <f aca="false">IF($L388&lt;&gt;"Planned","",IF($Y388&lt;=$S388,"Red",IF($Y388&lt;=$T388,"Yellow",IF($Y388&lt;=$U388,"Green","Above green"))))</f>
        <v/>
      </c>
      <c r="AA388" s="22" t="str">
        <f aca="false">IF(OR($L388&lt;&gt;"Planned",N($U388)&lt;=0),"",$Y388/$U388)</f>
        <v/>
      </c>
      <c r="AB388" s="8" t="str">
        <f aca="false">IF($L388&lt;&gt;"Planned","",IF($Y388&lt;=$T388,ROUNDUP(MAX($U388-$Y388,N($E388))/IF(N($F388)&gt;0,$F388,1)-0.000000001,0)*IF(N($F388)&gt;0,$F388,1),""))</f>
        <v/>
      </c>
      <c r="AC388" s="23" t="str">
        <f aca="false">IF(N($AB388)&gt;0,PlanDate+ROUNDUP($D388,0),"")</f>
        <v/>
      </c>
      <c r="AD388" s="19" t="str">
        <f aca="false">IF($L388&lt;&gt;"Planned","",IF(N($H388)&lt;=0,"Stockout",IF(N($H388)&lt;$S388*0.5,"Critical",IF(N($H388)&lt;=$S388,"Low",IF(N($H388)&gt;$U388,"Over top of green","OK")))))</f>
        <v/>
      </c>
      <c r="AE388" s="8" t="str">
        <f aca="false">IF($A388="","",$A388&amp;"")</f>
        <v/>
      </c>
      <c r="AF388" s="8" t="str">
        <f aca="false">IF($A388="","",SUBSTITUTE(SUBSTITUTE(SUBSTITUTE($A388&amp;"","~","~~"),"*","~*"),"?","~?"))</f>
        <v/>
      </c>
    </row>
    <row r="389" customFormat="false" ht="15" hidden="false" customHeight="false" outlineLevel="0" collapsed="false">
      <c r="A389" s="11"/>
      <c r="B389" s="11"/>
      <c r="C389" s="11"/>
      <c r="D389" s="16"/>
      <c r="E389" s="11"/>
      <c r="F389" s="11"/>
      <c r="G389" s="9"/>
      <c r="H389" s="11"/>
      <c r="I389" s="17"/>
      <c r="J389" s="18" t="str">
        <f aca="false">IF($A389="","",IF(COUNT(Usage!$C:$C)=0,"",MAX(0,SUMIFS(Usage!$C:$C,Usage!$A:$A,$AF389,Usage!$B:$B,"&gt;="&amp;(PlanDate-AduWindow),Usage!$B:$B,"&lt;"&amp;PlanDate))/AduWindow))</f>
        <v/>
      </c>
      <c r="K389" s="18" t="str">
        <f aca="false">IF($A389="","",IF(AND(ISNUMBER($I389),N($I389)&gt;=0),$I389,$J389))</f>
        <v/>
      </c>
      <c r="L389" s="19" t="str">
        <f aca="false">IF($A389="","",IF($K389="","Needs ADU",IF($K389&lt;=0,"No recent demand",IF(N($D389)&lt;=0,"Needs lead time","Planned"))))</f>
        <v/>
      </c>
      <c r="M389" s="8" t="str">
        <f aca="false">IF($A389="","",IF(ISNUMBER(MATCH($C389,Profiles!$A$2:$A$100,0)),$C389,DefaultProfile))</f>
        <v/>
      </c>
      <c r="N389" s="20" t="str">
        <f aca="false">IF($A389="","",INDEX(Profiles!$D$2:$D$100,MATCH($M389,Profiles!$A$2:$A$100,0)))</f>
        <v/>
      </c>
      <c r="O389" s="20" t="str">
        <f aca="false">IF($A389="","",INDEX(Profiles!$E$2:$E$100,MATCH($M389,Profiles!$A$2:$A$100,0)))</f>
        <v/>
      </c>
      <c r="P389" s="21" t="str">
        <f aca="false">IF($L389&lt;&gt;"Planned","",$K389*$D389*$N389*(1+$O389))</f>
        <v/>
      </c>
      <c r="Q389" s="21" t="str">
        <f aca="false">IF($L389&lt;&gt;"Planned","",$K389*$D389)</f>
        <v/>
      </c>
      <c r="R389" s="21" t="str">
        <f aca="false">IF($L389&lt;&gt;"Planned","",MAX(N($E389),$K389*$D389*$N389,$K389*N($G389)))</f>
        <v/>
      </c>
      <c r="S389" s="21" t="str">
        <f aca="false">IF($L389&lt;&gt;"Planned","",$P389)</f>
        <v/>
      </c>
      <c r="T389" s="21" t="str">
        <f aca="false">IF($L389&lt;&gt;"Planned","",$P389+$Q389)</f>
        <v/>
      </c>
      <c r="U389" s="21" t="str">
        <f aca="false">IF($L389&lt;&gt;"Planned","",$T389+$R389)</f>
        <v/>
      </c>
      <c r="V389" s="8" t="str">
        <f aca="false">IF($A389="","",SUMIFS('Open supply'!$C:$C,'Open supply'!$A:$A,$AF389))</f>
        <v/>
      </c>
      <c r="W389" s="8" t="str">
        <f aca="false">IF($A389="","",SUMIFS('Open supply'!$C:$C,'Open supply'!$A:$A,$AF389,'Open supply'!$B:$B,"&lt;"&amp;PlanDate))</f>
        <v/>
      </c>
      <c r="X389" s="8" t="str">
        <f aca="false">IF($A389="","",SUMIFS('Open demand'!$G:$G,'Open demand'!$A:$A,$AF389))</f>
        <v/>
      </c>
      <c r="Y389" s="8" t="str">
        <f aca="false">IF($L389&lt;&gt;"Planned","",N($H389)+$V389-$X389)</f>
        <v/>
      </c>
      <c r="Z389" s="19" t="str">
        <f aca="false">IF($L389&lt;&gt;"Planned","",IF($Y389&lt;=$S389,"Red",IF($Y389&lt;=$T389,"Yellow",IF($Y389&lt;=$U389,"Green","Above green"))))</f>
        <v/>
      </c>
      <c r="AA389" s="22" t="str">
        <f aca="false">IF(OR($L389&lt;&gt;"Planned",N($U389)&lt;=0),"",$Y389/$U389)</f>
        <v/>
      </c>
      <c r="AB389" s="8" t="str">
        <f aca="false">IF($L389&lt;&gt;"Planned","",IF($Y389&lt;=$T389,ROUNDUP(MAX($U389-$Y389,N($E389))/IF(N($F389)&gt;0,$F389,1)-0.000000001,0)*IF(N($F389)&gt;0,$F389,1),""))</f>
        <v/>
      </c>
      <c r="AC389" s="23" t="str">
        <f aca="false">IF(N($AB389)&gt;0,PlanDate+ROUNDUP($D389,0),"")</f>
        <v/>
      </c>
      <c r="AD389" s="19" t="str">
        <f aca="false">IF($L389&lt;&gt;"Planned","",IF(N($H389)&lt;=0,"Stockout",IF(N($H389)&lt;$S389*0.5,"Critical",IF(N($H389)&lt;=$S389,"Low",IF(N($H389)&gt;$U389,"Over top of green","OK")))))</f>
        <v/>
      </c>
      <c r="AE389" s="8" t="str">
        <f aca="false">IF($A389="","",$A389&amp;"")</f>
        <v/>
      </c>
      <c r="AF389" s="8" t="str">
        <f aca="false">IF($A389="","",SUBSTITUTE(SUBSTITUTE(SUBSTITUTE($A389&amp;"","~","~~"),"*","~*"),"?","~?"))</f>
        <v/>
      </c>
    </row>
    <row r="390" customFormat="false" ht="15" hidden="false" customHeight="false" outlineLevel="0" collapsed="false">
      <c r="A390" s="11"/>
      <c r="B390" s="11"/>
      <c r="C390" s="11"/>
      <c r="D390" s="16"/>
      <c r="E390" s="11"/>
      <c r="F390" s="11"/>
      <c r="G390" s="9"/>
      <c r="H390" s="11"/>
      <c r="I390" s="17"/>
      <c r="J390" s="18" t="str">
        <f aca="false">IF($A390="","",IF(COUNT(Usage!$C:$C)=0,"",MAX(0,SUMIFS(Usage!$C:$C,Usage!$A:$A,$AF390,Usage!$B:$B,"&gt;="&amp;(PlanDate-AduWindow),Usage!$B:$B,"&lt;"&amp;PlanDate))/AduWindow))</f>
        <v/>
      </c>
      <c r="K390" s="18" t="str">
        <f aca="false">IF($A390="","",IF(AND(ISNUMBER($I390),N($I390)&gt;=0),$I390,$J390))</f>
        <v/>
      </c>
      <c r="L390" s="19" t="str">
        <f aca="false">IF($A390="","",IF($K390="","Needs ADU",IF($K390&lt;=0,"No recent demand",IF(N($D390)&lt;=0,"Needs lead time","Planned"))))</f>
        <v/>
      </c>
      <c r="M390" s="8" t="str">
        <f aca="false">IF($A390="","",IF(ISNUMBER(MATCH($C390,Profiles!$A$2:$A$100,0)),$C390,DefaultProfile))</f>
        <v/>
      </c>
      <c r="N390" s="20" t="str">
        <f aca="false">IF($A390="","",INDEX(Profiles!$D$2:$D$100,MATCH($M390,Profiles!$A$2:$A$100,0)))</f>
        <v/>
      </c>
      <c r="O390" s="20" t="str">
        <f aca="false">IF($A390="","",INDEX(Profiles!$E$2:$E$100,MATCH($M390,Profiles!$A$2:$A$100,0)))</f>
        <v/>
      </c>
      <c r="P390" s="21" t="str">
        <f aca="false">IF($L390&lt;&gt;"Planned","",$K390*$D390*$N390*(1+$O390))</f>
        <v/>
      </c>
      <c r="Q390" s="21" t="str">
        <f aca="false">IF($L390&lt;&gt;"Planned","",$K390*$D390)</f>
        <v/>
      </c>
      <c r="R390" s="21" t="str">
        <f aca="false">IF($L390&lt;&gt;"Planned","",MAX(N($E390),$K390*$D390*$N390,$K390*N($G390)))</f>
        <v/>
      </c>
      <c r="S390" s="21" t="str">
        <f aca="false">IF($L390&lt;&gt;"Planned","",$P390)</f>
        <v/>
      </c>
      <c r="T390" s="21" t="str">
        <f aca="false">IF($L390&lt;&gt;"Planned","",$P390+$Q390)</f>
        <v/>
      </c>
      <c r="U390" s="21" t="str">
        <f aca="false">IF($L390&lt;&gt;"Planned","",$T390+$R390)</f>
        <v/>
      </c>
      <c r="V390" s="8" t="str">
        <f aca="false">IF($A390="","",SUMIFS('Open supply'!$C:$C,'Open supply'!$A:$A,$AF390))</f>
        <v/>
      </c>
      <c r="W390" s="8" t="str">
        <f aca="false">IF($A390="","",SUMIFS('Open supply'!$C:$C,'Open supply'!$A:$A,$AF390,'Open supply'!$B:$B,"&lt;"&amp;PlanDate))</f>
        <v/>
      </c>
      <c r="X390" s="8" t="str">
        <f aca="false">IF($A390="","",SUMIFS('Open demand'!$G:$G,'Open demand'!$A:$A,$AF390))</f>
        <v/>
      </c>
      <c r="Y390" s="8" t="str">
        <f aca="false">IF($L390&lt;&gt;"Planned","",N($H390)+$V390-$X390)</f>
        <v/>
      </c>
      <c r="Z390" s="19" t="str">
        <f aca="false">IF($L390&lt;&gt;"Planned","",IF($Y390&lt;=$S390,"Red",IF($Y390&lt;=$T390,"Yellow",IF($Y390&lt;=$U390,"Green","Above green"))))</f>
        <v/>
      </c>
      <c r="AA390" s="22" t="str">
        <f aca="false">IF(OR($L390&lt;&gt;"Planned",N($U390)&lt;=0),"",$Y390/$U390)</f>
        <v/>
      </c>
      <c r="AB390" s="8" t="str">
        <f aca="false">IF($L390&lt;&gt;"Planned","",IF($Y390&lt;=$T390,ROUNDUP(MAX($U390-$Y390,N($E390))/IF(N($F390)&gt;0,$F390,1)-0.000000001,0)*IF(N($F390)&gt;0,$F390,1),""))</f>
        <v/>
      </c>
      <c r="AC390" s="23" t="str">
        <f aca="false">IF(N($AB390)&gt;0,PlanDate+ROUNDUP($D390,0),"")</f>
        <v/>
      </c>
      <c r="AD390" s="19" t="str">
        <f aca="false">IF($L390&lt;&gt;"Planned","",IF(N($H390)&lt;=0,"Stockout",IF(N($H390)&lt;$S390*0.5,"Critical",IF(N($H390)&lt;=$S390,"Low",IF(N($H390)&gt;$U390,"Over top of green","OK")))))</f>
        <v/>
      </c>
      <c r="AE390" s="8" t="str">
        <f aca="false">IF($A390="","",$A390&amp;"")</f>
        <v/>
      </c>
      <c r="AF390" s="8" t="str">
        <f aca="false">IF($A390="","",SUBSTITUTE(SUBSTITUTE(SUBSTITUTE($A390&amp;"","~","~~"),"*","~*"),"?","~?"))</f>
        <v/>
      </c>
    </row>
    <row r="391" customFormat="false" ht="15" hidden="false" customHeight="false" outlineLevel="0" collapsed="false">
      <c r="A391" s="11"/>
      <c r="B391" s="11"/>
      <c r="C391" s="11"/>
      <c r="D391" s="16"/>
      <c r="E391" s="11"/>
      <c r="F391" s="11"/>
      <c r="G391" s="9"/>
      <c r="H391" s="11"/>
      <c r="I391" s="17"/>
      <c r="J391" s="18" t="str">
        <f aca="false">IF($A391="","",IF(COUNT(Usage!$C:$C)=0,"",MAX(0,SUMIFS(Usage!$C:$C,Usage!$A:$A,$AF391,Usage!$B:$B,"&gt;="&amp;(PlanDate-AduWindow),Usage!$B:$B,"&lt;"&amp;PlanDate))/AduWindow))</f>
        <v/>
      </c>
      <c r="K391" s="18" t="str">
        <f aca="false">IF($A391="","",IF(AND(ISNUMBER($I391),N($I391)&gt;=0),$I391,$J391))</f>
        <v/>
      </c>
      <c r="L391" s="19" t="str">
        <f aca="false">IF($A391="","",IF($K391="","Needs ADU",IF($K391&lt;=0,"No recent demand",IF(N($D391)&lt;=0,"Needs lead time","Planned"))))</f>
        <v/>
      </c>
      <c r="M391" s="8" t="str">
        <f aca="false">IF($A391="","",IF(ISNUMBER(MATCH($C391,Profiles!$A$2:$A$100,0)),$C391,DefaultProfile))</f>
        <v/>
      </c>
      <c r="N391" s="20" t="str">
        <f aca="false">IF($A391="","",INDEX(Profiles!$D$2:$D$100,MATCH($M391,Profiles!$A$2:$A$100,0)))</f>
        <v/>
      </c>
      <c r="O391" s="20" t="str">
        <f aca="false">IF($A391="","",INDEX(Profiles!$E$2:$E$100,MATCH($M391,Profiles!$A$2:$A$100,0)))</f>
        <v/>
      </c>
      <c r="P391" s="21" t="str">
        <f aca="false">IF($L391&lt;&gt;"Planned","",$K391*$D391*$N391*(1+$O391))</f>
        <v/>
      </c>
      <c r="Q391" s="21" t="str">
        <f aca="false">IF($L391&lt;&gt;"Planned","",$K391*$D391)</f>
        <v/>
      </c>
      <c r="R391" s="21" t="str">
        <f aca="false">IF($L391&lt;&gt;"Planned","",MAX(N($E391),$K391*$D391*$N391,$K391*N($G391)))</f>
        <v/>
      </c>
      <c r="S391" s="21" t="str">
        <f aca="false">IF($L391&lt;&gt;"Planned","",$P391)</f>
        <v/>
      </c>
      <c r="T391" s="21" t="str">
        <f aca="false">IF($L391&lt;&gt;"Planned","",$P391+$Q391)</f>
        <v/>
      </c>
      <c r="U391" s="21" t="str">
        <f aca="false">IF($L391&lt;&gt;"Planned","",$T391+$R391)</f>
        <v/>
      </c>
      <c r="V391" s="8" t="str">
        <f aca="false">IF($A391="","",SUMIFS('Open supply'!$C:$C,'Open supply'!$A:$A,$AF391))</f>
        <v/>
      </c>
      <c r="W391" s="8" t="str">
        <f aca="false">IF($A391="","",SUMIFS('Open supply'!$C:$C,'Open supply'!$A:$A,$AF391,'Open supply'!$B:$B,"&lt;"&amp;PlanDate))</f>
        <v/>
      </c>
      <c r="X391" s="8" t="str">
        <f aca="false">IF($A391="","",SUMIFS('Open demand'!$G:$G,'Open demand'!$A:$A,$AF391))</f>
        <v/>
      </c>
      <c r="Y391" s="8" t="str">
        <f aca="false">IF($L391&lt;&gt;"Planned","",N($H391)+$V391-$X391)</f>
        <v/>
      </c>
      <c r="Z391" s="19" t="str">
        <f aca="false">IF($L391&lt;&gt;"Planned","",IF($Y391&lt;=$S391,"Red",IF($Y391&lt;=$T391,"Yellow",IF($Y391&lt;=$U391,"Green","Above green"))))</f>
        <v/>
      </c>
      <c r="AA391" s="22" t="str">
        <f aca="false">IF(OR($L391&lt;&gt;"Planned",N($U391)&lt;=0),"",$Y391/$U391)</f>
        <v/>
      </c>
      <c r="AB391" s="8" t="str">
        <f aca="false">IF($L391&lt;&gt;"Planned","",IF($Y391&lt;=$T391,ROUNDUP(MAX($U391-$Y391,N($E391))/IF(N($F391)&gt;0,$F391,1)-0.000000001,0)*IF(N($F391)&gt;0,$F391,1),""))</f>
        <v/>
      </c>
      <c r="AC391" s="23" t="str">
        <f aca="false">IF(N($AB391)&gt;0,PlanDate+ROUNDUP($D391,0),"")</f>
        <v/>
      </c>
      <c r="AD391" s="19" t="str">
        <f aca="false">IF($L391&lt;&gt;"Planned","",IF(N($H391)&lt;=0,"Stockout",IF(N($H391)&lt;$S391*0.5,"Critical",IF(N($H391)&lt;=$S391,"Low",IF(N($H391)&gt;$U391,"Over top of green","OK")))))</f>
        <v/>
      </c>
      <c r="AE391" s="8" t="str">
        <f aca="false">IF($A391="","",$A391&amp;"")</f>
        <v/>
      </c>
      <c r="AF391" s="8" t="str">
        <f aca="false">IF($A391="","",SUBSTITUTE(SUBSTITUTE(SUBSTITUTE($A391&amp;"","~","~~"),"*","~*"),"?","~?"))</f>
        <v/>
      </c>
    </row>
    <row r="392" customFormat="false" ht="15" hidden="false" customHeight="false" outlineLevel="0" collapsed="false">
      <c r="A392" s="11"/>
      <c r="B392" s="11"/>
      <c r="C392" s="11"/>
      <c r="D392" s="16"/>
      <c r="E392" s="11"/>
      <c r="F392" s="11"/>
      <c r="G392" s="9"/>
      <c r="H392" s="11"/>
      <c r="I392" s="17"/>
      <c r="J392" s="18" t="str">
        <f aca="false">IF($A392="","",IF(COUNT(Usage!$C:$C)=0,"",MAX(0,SUMIFS(Usage!$C:$C,Usage!$A:$A,$AF392,Usage!$B:$B,"&gt;="&amp;(PlanDate-AduWindow),Usage!$B:$B,"&lt;"&amp;PlanDate))/AduWindow))</f>
        <v/>
      </c>
      <c r="K392" s="18" t="str">
        <f aca="false">IF($A392="","",IF(AND(ISNUMBER($I392),N($I392)&gt;=0),$I392,$J392))</f>
        <v/>
      </c>
      <c r="L392" s="19" t="str">
        <f aca="false">IF($A392="","",IF($K392="","Needs ADU",IF($K392&lt;=0,"No recent demand",IF(N($D392)&lt;=0,"Needs lead time","Planned"))))</f>
        <v/>
      </c>
      <c r="M392" s="8" t="str">
        <f aca="false">IF($A392="","",IF(ISNUMBER(MATCH($C392,Profiles!$A$2:$A$100,0)),$C392,DefaultProfile))</f>
        <v/>
      </c>
      <c r="N392" s="20" t="str">
        <f aca="false">IF($A392="","",INDEX(Profiles!$D$2:$D$100,MATCH($M392,Profiles!$A$2:$A$100,0)))</f>
        <v/>
      </c>
      <c r="O392" s="20" t="str">
        <f aca="false">IF($A392="","",INDEX(Profiles!$E$2:$E$100,MATCH($M392,Profiles!$A$2:$A$100,0)))</f>
        <v/>
      </c>
      <c r="P392" s="21" t="str">
        <f aca="false">IF($L392&lt;&gt;"Planned","",$K392*$D392*$N392*(1+$O392))</f>
        <v/>
      </c>
      <c r="Q392" s="21" t="str">
        <f aca="false">IF($L392&lt;&gt;"Planned","",$K392*$D392)</f>
        <v/>
      </c>
      <c r="R392" s="21" t="str">
        <f aca="false">IF($L392&lt;&gt;"Planned","",MAX(N($E392),$K392*$D392*$N392,$K392*N($G392)))</f>
        <v/>
      </c>
      <c r="S392" s="21" t="str">
        <f aca="false">IF($L392&lt;&gt;"Planned","",$P392)</f>
        <v/>
      </c>
      <c r="T392" s="21" t="str">
        <f aca="false">IF($L392&lt;&gt;"Planned","",$P392+$Q392)</f>
        <v/>
      </c>
      <c r="U392" s="21" t="str">
        <f aca="false">IF($L392&lt;&gt;"Planned","",$T392+$R392)</f>
        <v/>
      </c>
      <c r="V392" s="8" t="str">
        <f aca="false">IF($A392="","",SUMIFS('Open supply'!$C:$C,'Open supply'!$A:$A,$AF392))</f>
        <v/>
      </c>
      <c r="W392" s="8" t="str">
        <f aca="false">IF($A392="","",SUMIFS('Open supply'!$C:$C,'Open supply'!$A:$A,$AF392,'Open supply'!$B:$B,"&lt;"&amp;PlanDate))</f>
        <v/>
      </c>
      <c r="X392" s="8" t="str">
        <f aca="false">IF($A392="","",SUMIFS('Open demand'!$G:$G,'Open demand'!$A:$A,$AF392))</f>
        <v/>
      </c>
      <c r="Y392" s="8" t="str">
        <f aca="false">IF($L392&lt;&gt;"Planned","",N($H392)+$V392-$X392)</f>
        <v/>
      </c>
      <c r="Z392" s="19" t="str">
        <f aca="false">IF($L392&lt;&gt;"Planned","",IF($Y392&lt;=$S392,"Red",IF($Y392&lt;=$T392,"Yellow",IF($Y392&lt;=$U392,"Green","Above green"))))</f>
        <v/>
      </c>
      <c r="AA392" s="22" t="str">
        <f aca="false">IF(OR($L392&lt;&gt;"Planned",N($U392)&lt;=0),"",$Y392/$U392)</f>
        <v/>
      </c>
      <c r="AB392" s="8" t="str">
        <f aca="false">IF($L392&lt;&gt;"Planned","",IF($Y392&lt;=$T392,ROUNDUP(MAX($U392-$Y392,N($E392))/IF(N($F392)&gt;0,$F392,1)-0.000000001,0)*IF(N($F392)&gt;0,$F392,1),""))</f>
        <v/>
      </c>
      <c r="AC392" s="23" t="str">
        <f aca="false">IF(N($AB392)&gt;0,PlanDate+ROUNDUP($D392,0),"")</f>
        <v/>
      </c>
      <c r="AD392" s="19" t="str">
        <f aca="false">IF($L392&lt;&gt;"Planned","",IF(N($H392)&lt;=0,"Stockout",IF(N($H392)&lt;$S392*0.5,"Critical",IF(N($H392)&lt;=$S392,"Low",IF(N($H392)&gt;$U392,"Over top of green","OK")))))</f>
        <v/>
      </c>
      <c r="AE392" s="8" t="str">
        <f aca="false">IF($A392="","",$A392&amp;"")</f>
        <v/>
      </c>
      <c r="AF392" s="8" t="str">
        <f aca="false">IF($A392="","",SUBSTITUTE(SUBSTITUTE(SUBSTITUTE($A392&amp;"","~","~~"),"*","~*"),"?","~?"))</f>
        <v/>
      </c>
    </row>
    <row r="393" customFormat="false" ht="15" hidden="false" customHeight="false" outlineLevel="0" collapsed="false">
      <c r="A393" s="11"/>
      <c r="B393" s="11"/>
      <c r="C393" s="11"/>
      <c r="D393" s="16"/>
      <c r="E393" s="11"/>
      <c r="F393" s="11"/>
      <c r="G393" s="9"/>
      <c r="H393" s="11"/>
      <c r="I393" s="17"/>
      <c r="J393" s="18" t="str">
        <f aca="false">IF($A393="","",IF(COUNT(Usage!$C:$C)=0,"",MAX(0,SUMIFS(Usage!$C:$C,Usage!$A:$A,$AF393,Usage!$B:$B,"&gt;="&amp;(PlanDate-AduWindow),Usage!$B:$B,"&lt;"&amp;PlanDate))/AduWindow))</f>
        <v/>
      </c>
      <c r="K393" s="18" t="str">
        <f aca="false">IF($A393="","",IF(AND(ISNUMBER($I393),N($I393)&gt;=0),$I393,$J393))</f>
        <v/>
      </c>
      <c r="L393" s="19" t="str">
        <f aca="false">IF($A393="","",IF($K393="","Needs ADU",IF($K393&lt;=0,"No recent demand",IF(N($D393)&lt;=0,"Needs lead time","Planned"))))</f>
        <v/>
      </c>
      <c r="M393" s="8" t="str">
        <f aca="false">IF($A393="","",IF(ISNUMBER(MATCH($C393,Profiles!$A$2:$A$100,0)),$C393,DefaultProfile))</f>
        <v/>
      </c>
      <c r="N393" s="20" t="str">
        <f aca="false">IF($A393="","",INDEX(Profiles!$D$2:$D$100,MATCH($M393,Profiles!$A$2:$A$100,0)))</f>
        <v/>
      </c>
      <c r="O393" s="20" t="str">
        <f aca="false">IF($A393="","",INDEX(Profiles!$E$2:$E$100,MATCH($M393,Profiles!$A$2:$A$100,0)))</f>
        <v/>
      </c>
      <c r="P393" s="21" t="str">
        <f aca="false">IF($L393&lt;&gt;"Planned","",$K393*$D393*$N393*(1+$O393))</f>
        <v/>
      </c>
      <c r="Q393" s="21" t="str">
        <f aca="false">IF($L393&lt;&gt;"Planned","",$K393*$D393)</f>
        <v/>
      </c>
      <c r="R393" s="21" t="str">
        <f aca="false">IF($L393&lt;&gt;"Planned","",MAX(N($E393),$K393*$D393*$N393,$K393*N($G393)))</f>
        <v/>
      </c>
      <c r="S393" s="21" t="str">
        <f aca="false">IF($L393&lt;&gt;"Planned","",$P393)</f>
        <v/>
      </c>
      <c r="T393" s="21" t="str">
        <f aca="false">IF($L393&lt;&gt;"Planned","",$P393+$Q393)</f>
        <v/>
      </c>
      <c r="U393" s="21" t="str">
        <f aca="false">IF($L393&lt;&gt;"Planned","",$T393+$R393)</f>
        <v/>
      </c>
      <c r="V393" s="8" t="str">
        <f aca="false">IF($A393="","",SUMIFS('Open supply'!$C:$C,'Open supply'!$A:$A,$AF393))</f>
        <v/>
      </c>
      <c r="W393" s="8" t="str">
        <f aca="false">IF($A393="","",SUMIFS('Open supply'!$C:$C,'Open supply'!$A:$A,$AF393,'Open supply'!$B:$B,"&lt;"&amp;PlanDate))</f>
        <v/>
      </c>
      <c r="X393" s="8" t="str">
        <f aca="false">IF($A393="","",SUMIFS('Open demand'!$G:$G,'Open demand'!$A:$A,$AF393))</f>
        <v/>
      </c>
      <c r="Y393" s="8" t="str">
        <f aca="false">IF($L393&lt;&gt;"Planned","",N($H393)+$V393-$X393)</f>
        <v/>
      </c>
      <c r="Z393" s="19" t="str">
        <f aca="false">IF($L393&lt;&gt;"Planned","",IF($Y393&lt;=$S393,"Red",IF($Y393&lt;=$T393,"Yellow",IF($Y393&lt;=$U393,"Green","Above green"))))</f>
        <v/>
      </c>
      <c r="AA393" s="22" t="str">
        <f aca="false">IF(OR($L393&lt;&gt;"Planned",N($U393)&lt;=0),"",$Y393/$U393)</f>
        <v/>
      </c>
      <c r="AB393" s="8" t="str">
        <f aca="false">IF($L393&lt;&gt;"Planned","",IF($Y393&lt;=$T393,ROUNDUP(MAX($U393-$Y393,N($E393))/IF(N($F393)&gt;0,$F393,1)-0.000000001,0)*IF(N($F393)&gt;0,$F393,1),""))</f>
        <v/>
      </c>
      <c r="AC393" s="23" t="str">
        <f aca="false">IF(N($AB393)&gt;0,PlanDate+ROUNDUP($D393,0),"")</f>
        <v/>
      </c>
      <c r="AD393" s="19" t="str">
        <f aca="false">IF($L393&lt;&gt;"Planned","",IF(N($H393)&lt;=0,"Stockout",IF(N($H393)&lt;$S393*0.5,"Critical",IF(N($H393)&lt;=$S393,"Low",IF(N($H393)&gt;$U393,"Over top of green","OK")))))</f>
        <v/>
      </c>
      <c r="AE393" s="8" t="str">
        <f aca="false">IF($A393="","",$A393&amp;"")</f>
        <v/>
      </c>
      <c r="AF393" s="8" t="str">
        <f aca="false">IF($A393="","",SUBSTITUTE(SUBSTITUTE(SUBSTITUTE($A393&amp;"","~","~~"),"*","~*"),"?","~?"))</f>
        <v/>
      </c>
    </row>
    <row r="394" customFormat="false" ht="15" hidden="false" customHeight="false" outlineLevel="0" collapsed="false">
      <c r="A394" s="11"/>
      <c r="B394" s="11"/>
      <c r="C394" s="11"/>
      <c r="D394" s="16"/>
      <c r="E394" s="11"/>
      <c r="F394" s="11"/>
      <c r="G394" s="9"/>
      <c r="H394" s="11"/>
      <c r="I394" s="17"/>
      <c r="J394" s="18" t="str">
        <f aca="false">IF($A394="","",IF(COUNT(Usage!$C:$C)=0,"",MAX(0,SUMIFS(Usage!$C:$C,Usage!$A:$A,$AF394,Usage!$B:$B,"&gt;="&amp;(PlanDate-AduWindow),Usage!$B:$B,"&lt;"&amp;PlanDate))/AduWindow))</f>
        <v/>
      </c>
      <c r="K394" s="18" t="str">
        <f aca="false">IF($A394="","",IF(AND(ISNUMBER($I394),N($I394)&gt;=0),$I394,$J394))</f>
        <v/>
      </c>
      <c r="L394" s="19" t="str">
        <f aca="false">IF($A394="","",IF($K394="","Needs ADU",IF($K394&lt;=0,"No recent demand",IF(N($D394)&lt;=0,"Needs lead time","Planned"))))</f>
        <v/>
      </c>
      <c r="M394" s="8" t="str">
        <f aca="false">IF($A394="","",IF(ISNUMBER(MATCH($C394,Profiles!$A$2:$A$100,0)),$C394,DefaultProfile))</f>
        <v/>
      </c>
      <c r="N394" s="20" t="str">
        <f aca="false">IF($A394="","",INDEX(Profiles!$D$2:$D$100,MATCH($M394,Profiles!$A$2:$A$100,0)))</f>
        <v/>
      </c>
      <c r="O394" s="20" t="str">
        <f aca="false">IF($A394="","",INDEX(Profiles!$E$2:$E$100,MATCH($M394,Profiles!$A$2:$A$100,0)))</f>
        <v/>
      </c>
      <c r="P394" s="21" t="str">
        <f aca="false">IF($L394&lt;&gt;"Planned","",$K394*$D394*$N394*(1+$O394))</f>
        <v/>
      </c>
      <c r="Q394" s="21" t="str">
        <f aca="false">IF($L394&lt;&gt;"Planned","",$K394*$D394)</f>
        <v/>
      </c>
      <c r="R394" s="21" t="str">
        <f aca="false">IF($L394&lt;&gt;"Planned","",MAX(N($E394),$K394*$D394*$N394,$K394*N($G394)))</f>
        <v/>
      </c>
      <c r="S394" s="21" t="str">
        <f aca="false">IF($L394&lt;&gt;"Planned","",$P394)</f>
        <v/>
      </c>
      <c r="T394" s="21" t="str">
        <f aca="false">IF($L394&lt;&gt;"Planned","",$P394+$Q394)</f>
        <v/>
      </c>
      <c r="U394" s="21" t="str">
        <f aca="false">IF($L394&lt;&gt;"Planned","",$T394+$R394)</f>
        <v/>
      </c>
      <c r="V394" s="8" t="str">
        <f aca="false">IF($A394="","",SUMIFS('Open supply'!$C:$C,'Open supply'!$A:$A,$AF394))</f>
        <v/>
      </c>
      <c r="W394" s="8" t="str">
        <f aca="false">IF($A394="","",SUMIFS('Open supply'!$C:$C,'Open supply'!$A:$A,$AF394,'Open supply'!$B:$B,"&lt;"&amp;PlanDate))</f>
        <v/>
      </c>
      <c r="X394" s="8" t="str">
        <f aca="false">IF($A394="","",SUMIFS('Open demand'!$G:$G,'Open demand'!$A:$A,$AF394))</f>
        <v/>
      </c>
      <c r="Y394" s="8" t="str">
        <f aca="false">IF($L394&lt;&gt;"Planned","",N($H394)+$V394-$X394)</f>
        <v/>
      </c>
      <c r="Z394" s="19" t="str">
        <f aca="false">IF($L394&lt;&gt;"Planned","",IF($Y394&lt;=$S394,"Red",IF($Y394&lt;=$T394,"Yellow",IF($Y394&lt;=$U394,"Green","Above green"))))</f>
        <v/>
      </c>
      <c r="AA394" s="22" t="str">
        <f aca="false">IF(OR($L394&lt;&gt;"Planned",N($U394)&lt;=0),"",$Y394/$U394)</f>
        <v/>
      </c>
      <c r="AB394" s="8" t="str">
        <f aca="false">IF($L394&lt;&gt;"Planned","",IF($Y394&lt;=$T394,ROUNDUP(MAX($U394-$Y394,N($E394))/IF(N($F394)&gt;0,$F394,1)-0.000000001,0)*IF(N($F394)&gt;0,$F394,1),""))</f>
        <v/>
      </c>
      <c r="AC394" s="23" t="str">
        <f aca="false">IF(N($AB394)&gt;0,PlanDate+ROUNDUP($D394,0),"")</f>
        <v/>
      </c>
      <c r="AD394" s="19" t="str">
        <f aca="false">IF($L394&lt;&gt;"Planned","",IF(N($H394)&lt;=0,"Stockout",IF(N($H394)&lt;$S394*0.5,"Critical",IF(N($H394)&lt;=$S394,"Low",IF(N($H394)&gt;$U394,"Over top of green","OK")))))</f>
        <v/>
      </c>
      <c r="AE394" s="8" t="str">
        <f aca="false">IF($A394="","",$A394&amp;"")</f>
        <v/>
      </c>
      <c r="AF394" s="8" t="str">
        <f aca="false">IF($A394="","",SUBSTITUTE(SUBSTITUTE(SUBSTITUTE($A394&amp;"","~","~~"),"*","~*"),"?","~?"))</f>
        <v/>
      </c>
    </row>
    <row r="395" customFormat="false" ht="15" hidden="false" customHeight="false" outlineLevel="0" collapsed="false">
      <c r="A395" s="11"/>
      <c r="B395" s="11"/>
      <c r="C395" s="11"/>
      <c r="D395" s="16"/>
      <c r="E395" s="11"/>
      <c r="F395" s="11"/>
      <c r="G395" s="9"/>
      <c r="H395" s="11"/>
      <c r="I395" s="17"/>
      <c r="J395" s="18" t="str">
        <f aca="false">IF($A395="","",IF(COUNT(Usage!$C:$C)=0,"",MAX(0,SUMIFS(Usage!$C:$C,Usage!$A:$A,$AF395,Usage!$B:$B,"&gt;="&amp;(PlanDate-AduWindow),Usage!$B:$B,"&lt;"&amp;PlanDate))/AduWindow))</f>
        <v/>
      </c>
      <c r="K395" s="18" t="str">
        <f aca="false">IF($A395="","",IF(AND(ISNUMBER($I395),N($I395)&gt;=0),$I395,$J395))</f>
        <v/>
      </c>
      <c r="L395" s="19" t="str">
        <f aca="false">IF($A395="","",IF($K395="","Needs ADU",IF($K395&lt;=0,"No recent demand",IF(N($D395)&lt;=0,"Needs lead time","Planned"))))</f>
        <v/>
      </c>
      <c r="M395" s="8" t="str">
        <f aca="false">IF($A395="","",IF(ISNUMBER(MATCH($C395,Profiles!$A$2:$A$100,0)),$C395,DefaultProfile))</f>
        <v/>
      </c>
      <c r="N395" s="20" t="str">
        <f aca="false">IF($A395="","",INDEX(Profiles!$D$2:$D$100,MATCH($M395,Profiles!$A$2:$A$100,0)))</f>
        <v/>
      </c>
      <c r="O395" s="20" t="str">
        <f aca="false">IF($A395="","",INDEX(Profiles!$E$2:$E$100,MATCH($M395,Profiles!$A$2:$A$100,0)))</f>
        <v/>
      </c>
      <c r="P395" s="21" t="str">
        <f aca="false">IF($L395&lt;&gt;"Planned","",$K395*$D395*$N395*(1+$O395))</f>
        <v/>
      </c>
      <c r="Q395" s="21" t="str">
        <f aca="false">IF($L395&lt;&gt;"Planned","",$K395*$D395)</f>
        <v/>
      </c>
      <c r="R395" s="21" t="str">
        <f aca="false">IF($L395&lt;&gt;"Planned","",MAX(N($E395),$K395*$D395*$N395,$K395*N($G395)))</f>
        <v/>
      </c>
      <c r="S395" s="21" t="str">
        <f aca="false">IF($L395&lt;&gt;"Planned","",$P395)</f>
        <v/>
      </c>
      <c r="T395" s="21" t="str">
        <f aca="false">IF($L395&lt;&gt;"Planned","",$P395+$Q395)</f>
        <v/>
      </c>
      <c r="U395" s="21" t="str">
        <f aca="false">IF($L395&lt;&gt;"Planned","",$T395+$R395)</f>
        <v/>
      </c>
      <c r="V395" s="8" t="str">
        <f aca="false">IF($A395="","",SUMIFS('Open supply'!$C:$C,'Open supply'!$A:$A,$AF395))</f>
        <v/>
      </c>
      <c r="W395" s="8" t="str">
        <f aca="false">IF($A395="","",SUMIFS('Open supply'!$C:$C,'Open supply'!$A:$A,$AF395,'Open supply'!$B:$B,"&lt;"&amp;PlanDate))</f>
        <v/>
      </c>
      <c r="X395" s="8" t="str">
        <f aca="false">IF($A395="","",SUMIFS('Open demand'!$G:$G,'Open demand'!$A:$A,$AF395))</f>
        <v/>
      </c>
      <c r="Y395" s="8" t="str">
        <f aca="false">IF($L395&lt;&gt;"Planned","",N($H395)+$V395-$X395)</f>
        <v/>
      </c>
      <c r="Z395" s="19" t="str">
        <f aca="false">IF($L395&lt;&gt;"Planned","",IF($Y395&lt;=$S395,"Red",IF($Y395&lt;=$T395,"Yellow",IF($Y395&lt;=$U395,"Green","Above green"))))</f>
        <v/>
      </c>
      <c r="AA395" s="22" t="str">
        <f aca="false">IF(OR($L395&lt;&gt;"Planned",N($U395)&lt;=0),"",$Y395/$U395)</f>
        <v/>
      </c>
      <c r="AB395" s="8" t="str">
        <f aca="false">IF($L395&lt;&gt;"Planned","",IF($Y395&lt;=$T395,ROUNDUP(MAX($U395-$Y395,N($E395))/IF(N($F395)&gt;0,$F395,1)-0.000000001,0)*IF(N($F395)&gt;0,$F395,1),""))</f>
        <v/>
      </c>
      <c r="AC395" s="23" t="str">
        <f aca="false">IF(N($AB395)&gt;0,PlanDate+ROUNDUP($D395,0),"")</f>
        <v/>
      </c>
      <c r="AD395" s="19" t="str">
        <f aca="false">IF($L395&lt;&gt;"Planned","",IF(N($H395)&lt;=0,"Stockout",IF(N($H395)&lt;$S395*0.5,"Critical",IF(N($H395)&lt;=$S395,"Low",IF(N($H395)&gt;$U395,"Over top of green","OK")))))</f>
        <v/>
      </c>
      <c r="AE395" s="8" t="str">
        <f aca="false">IF($A395="","",$A395&amp;"")</f>
        <v/>
      </c>
      <c r="AF395" s="8" t="str">
        <f aca="false">IF($A395="","",SUBSTITUTE(SUBSTITUTE(SUBSTITUTE($A395&amp;"","~","~~"),"*","~*"),"?","~?"))</f>
        <v/>
      </c>
    </row>
    <row r="396" customFormat="false" ht="15" hidden="false" customHeight="false" outlineLevel="0" collapsed="false">
      <c r="A396" s="11"/>
      <c r="B396" s="11"/>
      <c r="C396" s="11"/>
      <c r="D396" s="16"/>
      <c r="E396" s="11"/>
      <c r="F396" s="11"/>
      <c r="G396" s="9"/>
      <c r="H396" s="11"/>
      <c r="I396" s="17"/>
      <c r="J396" s="18" t="str">
        <f aca="false">IF($A396="","",IF(COUNT(Usage!$C:$C)=0,"",MAX(0,SUMIFS(Usage!$C:$C,Usage!$A:$A,$AF396,Usage!$B:$B,"&gt;="&amp;(PlanDate-AduWindow),Usage!$B:$B,"&lt;"&amp;PlanDate))/AduWindow))</f>
        <v/>
      </c>
      <c r="K396" s="18" t="str">
        <f aca="false">IF($A396="","",IF(AND(ISNUMBER($I396),N($I396)&gt;=0),$I396,$J396))</f>
        <v/>
      </c>
      <c r="L396" s="19" t="str">
        <f aca="false">IF($A396="","",IF($K396="","Needs ADU",IF($K396&lt;=0,"No recent demand",IF(N($D396)&lt;=0,"Needs lead time","Planned"))))</f>
        <v/>
      </c>
      <c r="M396" s="8" t="str">
        <f aca="false">IF($A396="","",IF(ISNUMBER(MATCH($C396,Profiles!$A$2:$A$100,0)),$C396,DefaultProfile))</f>
        <v/>
      </c>
      <c r="N396" s="20" t="str">
        <f aca="false">IF($A396="","",INDEX(Profiles!$D$2:$D$100,MATCH($M396,Profiles!$A$2:$A$100,0)))</f>
        <v/>
      </c>
      <c r="O396" s="20" t="str">
        <f aca="false">IF($A396="","",INDEX(Profiles!$E$2:$E$100,MATCH($M396,Profiles!$A$2:$A$100,0)))</f>
        <v/>
      </c>
      <c r="P396" s="21" t="str">
        <f aca="false">IF($L396&lt;&gt;"Planned","",$K396*$D396*$N396*(1+$O396))</f>
        <v/>
      </c>
      <c r="Q396" s="21" t="str">
        <f aca="false">IF($L396&lt;&gt;"Planned","",$K396*$D396)</f>
        <v/>
      </c>
      <c r="R396" s="21" t="str">
        <f aca="false">IF($L396&lt;&gt;"Planned","",MAX(N($E396),$K396*$D396*$N396,$K396*N($G396)))</f>
        <v/>
      </c>
      <c r="S396" s="21" t="str">
        <f aca="false">IF($L396&lt;&gt;"Planned","",$P396)</f>
        <v/>
      </c>
      <c r="T396" s="21" t="str">
        <f aca="false">IF($L396&lt;&gt;"Planned","",$P396+$Q396)</f>
        <v/>
      </c>
      <c r="U396" s="21" t="str">
        <f aca="false">IF($L396&lt;&gt;"Planned","",$T396+$R396)</f>
        <v/>
      </c>
      <c r="V396" s="8" t="str">
        <f aca="false">IF($A396="","",SUMIFS('Open supply'!$C:$C,'Open supply'!$A:$A,$AF396))</f>
        <v/>
      </c>
      <c r="W396" s="8" t="str">
        <f aca="false">IF($A396="","",SUMIFS('Open supply'!$C:$C,'Open supply'!$A:$A,$AF396,'Open supply'!$B:$B,"&lt;"&amp;PlanDate))</f>
        <v/>
      </c>
      <c r="X396" s="8" t="str">
        <f aca="false">IF($A396="","",SUMIFS('Open demand'!$G:$G,'Open demand'!$A:$A,$AF396))</f>
        <v/>
      </c>
      <c r="Y396" s="8" t="str">
        <f aca="false">IF($L396&lt;&gt;"Planned","",N($H396)+$V396-$X396)</f>
        <v/>
      </c>
      <c r="Z396" s="19" t="str">
        <f aca="false">IF($L396&lt;&gt;"Planned","",IF($Y396&lt;=$S396,"Red",IF($Y396&lt;=$T396,"Yellow",IF($Y396&lt;=$U396,"Green","Above green"))))</f>
        <v/>
      </c>
      <c r="AA396" s="22" t="str">
        <f aca="false">IF(OR($L396&lt;&gt;"Planned",N($U396)&lt;=0),"",$Y396/$U396)</f>
        <v/>
      </c>
      <c r="AB396" s="8" t="str">
        <f aca="false">IF($L396&lt;&gt;"Planned","",IF($Y396&lt;=$T396,ROUNDUP(MAX($U396-$Y396,N($E396))/IF(N($F396)&gt;0,$F396,1)-0.000000001,0)*IF(N($F396)&gt;0,$F396,1),""))</f>
        <v/>
      </c>
      <c r="AC396" s="23" t="str">
        <f aca="false">IF(N($AB396)&gt;0,PlanDate+ROUNDUP($D396,0),"")</f>
        <v/>
      </c>
      <c r="AD396" s="19" t="str">
        <f aca="false">IF($L396&lt;&gt;"Planned","",IF(N($H396)&lt;=0,"Stockout",IF(N($H396)&lt;$S396*0.5,"Critical",IF(N($H396)&lt;=$S396,"Low",IF(N($H396)&gt;$U396,"Over top of green","OK")))))</f>
        <v/>
      </c>
      <c r="AE396" s="8" t="str">
        <f aca="false">IF($A396="","",$A396&amp;"")</f>
        <v/>
      </c>
      <c r="AF396" s="8" t="str">
        <f aca="false">IF($A396="","",SUBSTITUTE(SUBSTITUTE(SUBSTITUTE($A396&amp;"","~","~~"),"*","~*"),"?","~?"))</f>
        <v/>
      </c>
    </row>
    <row r="397" customFormat="false" ht="15" hidden="false" customHeight="false" outlineLevel="0" collapsed="false">
      <c r="A397" s="11"/>
      <c r="B397" s="11"/>
      <c r="C397" s="11"/>
      <c r="D397" s="16"/>
      <c r="E397" s="11"/>
      <c r="F397" s="11"/>
      <c r="G397" s="9"/>
      <c r="H397" s="11"/>
      <c r="I397" s="17"/>
      <c r="J397" s="18" t="str">
        <f aca="false">IF($A397="","",IF(COUNT(Usage!$C:$C)=0,"",MAX(0,SUMIFS(Usage!$C:$C,Usage!$A:$A,$AF397,Usage!$B:$B,"&gt;="&amp;(PlanDate-AduWindow),Usage!$B:$B,"&lt;"&amp;PlanDate))/AduWindow))</f>
        <v/>
      </c>
      <c r="K397" s="18" t="str">
        <f aca="false">IF($A397="","",IF(AND(ISNUMBER($I397),N($I397)&gt;=0),$I397,$J397))</f>
        <v/>
      </c>
      <c r="L397" s="19" t="str">
        <f aca="false">IF($A397="","",IF($K397="","Needs ADU",IF($K397&lt;=0,"No recent demand",IF(N($D397)&lt;=0,"Needs lead time","Planned"))))</f>
        <v/>
      </c>
      <c r="M397" s="8" t="str">
        <f aca="false">IF($A397="","",IF(ISNUMBER(MATCH($C397,Profiles!$A$2:$A$100,0)),$C397,DefaultProfile))</f>
        <v/>
      </c>
      <c r="N397" s="20" t="str">
        <f aca="false">IF($A397="","",INDEX(Profiles!$D$2:$D$100,MATCH($M397,Profiles!$A$2:$A$100,0)))</f>
        <v/>
      </c>
      <c r="O397" s="20" t="str">
        <f aca="false">IF($A397="","",INDEX(Profiles!$E$2:$E$100,MATCH($M397,Profiles!$A$2:$A$100,0)))</f>
        <v/>
      </c>
      <c r="P397" s="21" t="str">
        <f aca="false">IF($L397&lt;&gt;"Planned","",$K397*$D397*$N397*(1+$O397))</f>
        <v/>
      </c>
      <c r="Q397" s="21" t="str">
        <f aca="false">IF($L397&lt;&gt;"Planned","",$K397*$D397)</f>
        <v/>
      </c>
      <c r="R397" s="21" t="str">
        <f aca="false">IF($L397&lt;&gt;"Planned","",MAX(N($E397),$K397*$D397*$N397,$K397*N($G397)))</f>
        <v/>
      </c>
      <c r="S397" s="21" t="str">
        <f aca="false">IF($L397&lt;&gt;"Planned","",$P397)</f>
        <v/>
      </c>
      <c r="T397" s="21" t="str">
        <f aca="false">IF($L397&lt;&gt;"Planned","",$P397+$Q397)</f>
        <v/>
      </c>
      <c r="U397" s="21" t="str">
        <f aca="false">IF($L397&lt;&gt;"Planned","",$T397+$R397)</f>
        <v/>
      </c>
      <c r="V397" s="8" t="str">
        <f aca="false">IF($A397="","",SUMIFS('Open supply'!$C:$C,'Open supply'!$A:$A,$AF397))</f>
        <v/>
      </c>
      <c r="W397" s="8" t="str">
        <f aca="false">IF($A397="","",SUMIFS('Open supply'!$C:$C,'Open supply'!$A:$A,$AF397,'Open supply'!$B:$B,"&lt;"&amp;PlanDate))</f>
        <v/>
      </c>
      <c r="X397" s="8" t="str">
        <f aca="false">IF($A397="","",SUMIFS('Open demand'!$G:$G,'Open demand'!$A:$A,$AF397))</f>
        <v/>
      </c>
      <c r="Y397" s="8" t="str">
        <f aca="false">IF($L397&lt;&gt;"Planned","",N($H397)+$V397-$X397)</f>
        <v/>
      </c>
      <c r="Z397" s="19" t="str">
        <f aca="false">IF($L397&lt;&gt;"Planned","",IF($Y397&lt;=$S397,"Red",IF($Y397&lt;=$T397,"Yellow",IF($Y397&lt;=$U397,"Green","Above green"))))</f>
        <v/>
      </c>
      <c r="AA397" s="22" t="str">
        <f aca="false">IF(OR($L397&lt;&gt;"Planned",N($U397)&lt;=0),"",$Y397/$U397)</f>
        <v/>
      </c>
      <c r="AB397" s="8" t="str">
        <f aca="false">IF($L397&lt;&gt;"Planned","",IF($Y397&lt;=$T397,ROUNDUP(MAX($U397-$Y397,N($E397))/IF(N($F397)&gt;0,$F397,1)-0.000000001,0)*IF(N($F397)&gt;0,$F397,1),""))</f>
        <v/>
      </c>
      <c r="AC397" s="23" t="str">
        <f aca="false">IF(N($AB397)&gt;0,PlanDate+ROUNDUP($D397,0),"")</f>
        <v/>
      </c>
      <c r="AD397" s="19" t="str">
        <f aca="false">IF($L397&lt;&gt;"Planned","",IF(N($H397)&lt;=0,"Stockout",IF(N($H397)&lt;$S397*0.5,"Critical",IF(N($H397)&lt;=$S397,"Low",IF(N($H397)&gt;$U397,"Over top of green","OK")))))</f>
        <v/>
      </c>
      <c r="AE397" s="8" t="str">
        <f aca="false">IF($A397="","",$A397&amp;"")</f>
        <v/>
      </c>
      <c r="AF397" s="8" t="str">
        <f aca="false">IF($A397="","",SUBSTITUTE(SUBSTITUTE(SUBSTITUTE($A397&amp;"","~","~~"),"*","~*"),"?","~?"))</f>
        <v/>
      </c>
    </row>
    <row r="398" customFormat="false" ht="15" hidden="false" customHeight="false" outlineLevel="0" collapsed="false">
      <c r="A398" s="11"/>
      <c r="B398" s="11"/>
      <c r="C398" s="11"/>
      <c r="D398" s="16"/>
      <c r="E398" s="11"/>
      <c r="F398" s="11"/>
      <c r="G398" s="9"/>
      <c r="H398" s="11"/>
      <c r="I398" s="17"/>
      <c r="J398" s="18" t="str">
        <f aca="false">IF($A398="","",IF(COUNT(Usage!$C:$C)=0,"",MAX(0,SUMIFS(Usage!$C:$C,Usage!$A:$A,$AF398,Usage!$B:$B,"&gt;="&amp;(PlanDate-AduWindow),Usage!$B:$B,"&lt;"&amp;PlanDate))/AduWindow))</f>
        <v/>
      </c>
      <c r="K398" s="18" t="str">
        <f aca="false">IF($A398="","",IF(AND(ISNUMBER($I398),N($I398)&gt;=0),$I398,$J398))</f>
        <v/>
      </c>
      <c r="L398" s="19" t="str">
        <f aca="false">IF($A398="","",IF($K398="","Needs ADU",IF($K398&lt;=0,"No recent demand",IF(N($D398)&lt;=0,"Needs lead time","Planned"))))</f>
        <v/>
      </c>
      <c r="M398" s="8" t="str">
        <f aca="false">IF($A398="","",IF(ISNUMBER(MATCH($C398,Profiles!$A$2:$A$100,0)),$C398,DefaultProfile))</f>
        <v/>
      </c>
      <c r="N398" s="20" t="str">
        <f aca="false">IF($A398="","",INDEX(Profiles!$D$2:$D$100,MATCH($M398,Profiles!$A$2:$A$100,0)))</f>
        <v/>
      </c>
      <c r="O398" s="20" t="str">
        <f aca="false">IF($A398="","",INDEX(Profiles!$E$2:$E$100,MATCH($M398,Profiles!$A$2:$A$100,0)))</f>
        <v/>
      </c>
      <c r="P398" s="21" t="str">
        <f aca="false">IF($L398&lt;&gt;"Planned","",$K398*$D398*$N398*(1+$O398))</f>
        <v/>
      </c>
      <c r="Q398" s="21" t="str">
        <f aca="false">IF($L398&lt;&gt;"Planned","",$K398*$D398)</f>
        <v/>
      </c>
      <c r="R398" s="21" t="str">
        <f aca="false">IF($L398&lt;&gt;"Planned","",MAX(N($E398),$K398*$D398*$N398,$K398*N($G398)))</f>
        <v/>
      </c>
      <c r="S398" s="21" t="str">
        <f aca="false">IF($L398&lt;&gt;"Planned","",$P398)</f>
        <v/>
      </c>
      <c r="T398" s="21" t="str">
        <f aca="false">IF($L398&lt;&gt;"Planned","",$P398+$Q398)</f>
        <v/>
      </c>
      <c r="U398" s="21" t="str">
        <f aca="false">IF($L398&lt;&gt;"Planned","",$T398+$R398)</f>
        <v/>
      </c>
      <c r="V398" s="8" t="str">
        <f aca="false">IF($A398="","",SUMIFS('Open supply'!$C:$C,'Open supply'!$A:$A,$AF398))</f>
        <v/>
      </c>
      <c r="W398" s="8" t="str">
        <f aca="false">IF($A398="","",SUMIFS('Open supply'!$C:$C,'Open supply'!$A:$A,$AF398,'Open supply'!$B:$B,"&lt;"&amp;PlanDate))</f>
        <v/>
      </c>
      <c r="X398" s="8" t="str">
        <f aca="false">IF($A398="","",SUMIFS('Open demand'!$G:$G,'Open demand'!$A:$A,$AF398))</f>
        <v/>
      </c>
      <c r="Y398" s="8" t="str">
        <f aca="false">IF($L398&lt;&gt;"Planned","",N($H398)+$V398-$X398)</f>
        <v/>
      </c>
      <c r="Z398" s="19" t="str">
        <f aca="false">IF($L398&lt;&gt;"Planned","",IF($Y398&lt;=$S398,"Red",IF($Y398&lt;=$T398,"Yellow",IF($Y398&lt;=$U398,"Green","Above green"))))</f>
        <v/>
      </c>
      <c r="AA398" s="22" t="str">
        <f aca="false">IF(OR($L398&lt;&gt;"Planned",N($U398)&lt;=0),"",$Y398/$U398)</f>
        <v/>
      </c>
      <c r="AB398" s="8" t="str">
        <f aca="false">IF($L398&lt;&gt;"Planned","",IF($Y398&lt;=$T398,ROUNDUP(MAX($U398-$Y398,N($E398))/IF(N($F398)&gt;0,$F398,1)-0.000000001,0)*IF(N($F398)&gt;0,$F398,1),""))</f>
        <v/>
      </c>
      <c r="AC398" s="23" t="str">
        <f aca="false">IF(N($AB398)&gt;0,PlanDate+ROUNDUP($D398,0),"")</f>
        <v/>
      </c>
      <c r="AD398" s="19" t="str">
        <f aca="false">IF($L398&lt;&gt;"Planned","",IF(N($H398)&lt;=0,"Stockout",IF(N($H398)&lt;$S398*0.5,"Critical",IF(N($H398)&lt;=$S398,"Low",IF(N($H398)&gt;$U398,"Over top of green","OK")))))</f>
        <v/>
      </c>
      <c r="AE398" s="8" t="str">
        <f aca="false">IF($A398="","",$A398&amp;"")</f>
        <v/>
      </c>
      <c r="AF398" s="8" t="str">
        <f aca="false">IF($A398="","",SUBSTITUTE(SUBSTITUTE(SUBSTITUTE($A398&amp;"","~","~~"),"*","~*"),"?","~?"))</f>
        <v/>
      </c>
    </row>
    <row r="399" customFormat="false" ht="15" hidden="false" customHeight="false" outlineLevel="0" collapsed="false">
      <c r="A399" s="11"/>
      <c r="B399" s="11"/>
      <c r="C399" s="11"/>
      <c r="D399" s="16"/>
      <c r="E399" s="11"/>
      <c r="F399" s="11"/>
      <c r="G399" s="9"/>
      <c r="H399" s="11"/>
      <c r="I399" s="17"/>
      <c r="J399" s="18" t="str">
        <f aca="false">IF($A399="","",IF(COUNT(Usage!$C:$C)=0,"",MAX(0,SUMIFS(Usage!$C:$C,Usage!$A:$A,$AF399,Usage!$B:$B,"&gt;="&amp;(PlanDate-AduWindow),Usage!$B:$B,"&lt;"&amp;PlanDate))/AduWindow))</f>
        <v/>
      </c>
      <c r="K399" s="18" t="str">
        <f aca="false">IF($A399="","",IF(AND(ISNUMBER($I399),N($I399)&gt;=0),$I399,$J399))</f>
        <v/>
      </c>
      <c r="L399" s="19" t="str">
        <f aca="false">IF($A399="","",IF($K399="","Needs ADU",IF($K399&lt;=0,"No recent demand",IF(N($D399)&lt;=0,"Needs lead time","Planned"))))</f>
        <v/>
      </c>
      <c r="M399" s="8" t="str">
        <f aca="false">IF($A399="","",IF(ISNUMBER(MATCH($C399,Profiles!$A$2:$A$100,0)),$C399,DefaultProfile))</f>
        <v/>
      </c>
      <c r="N399" s="20" t="str">
        <f aca="false">IF($A399="","",INDEX(Profiles!$D$2:$D$100,MATCH($M399,Profiles!$A$2:$A$100,0)))</f>
        <v/>
      </c>
      <c r="O399" s="20" t="str">
        <f aca="false">IF($A399="","",INDEX(Profiles!$E$2:$E$100,MATCH($M399,Profiles!$A$2:$A$100,0)))</f>
        <v/>
      </c>
      <c r="P399" s="21" t="str">
        <f aca="false">IF($L399&lt;&gt;"Planned","",$K399*$D399*$N399*(1+$O399))</f>
        <v/>
      </c>
      <c r="Q399" s="21" t="str">
        <f aca="false">IF($L399&lt;&gt;"Planned","",$K399*$D399)</f>
        <v/>
      </c>
      <c r="R399" s="21" t="str">
        <f aca="false">IF($L399&lt;&gt;"Planned","",MAX(N($E399),$K399*$D399*$N399,$K399*N($G399)))</f>
        <v/>
      </c>
      <c r="S399" s="21" t="str">
        <f aca="false">IF($L399&lt;&gt;"Planned","",$P399)</f>
        <v/>
      </c>
      <c r="T399" s="21" t="str">
        <f aca="false">IF($L399&lt;&gt;"Planned","",$P399+$Q399)</f>
        <v/>
      </c>
      <c r="U399" s="21" t="str">
        <f aca="false">IF($L399&lt;&gt;"Planned","",$T399+$R399)</f>
        <v/>
      </c>
      <c r="V399" s="8" t="str">
        <f aca="false">IF($A399="","",SUMIFS('Open supply'!$C:$C,'Open supply'!$A:$A,$AF399))</f>
        <v/>
      </c>
      <c r="W399" s="8" t="str">
        <f aca="false">IF($A399="","",SUMIFS('Open supply'!$C:$C,'Open supply'!$A:$A,$AF399,'Open supply'!$B:$B,"&lt;"&amp;PlanDate))</f>
        <v/>
      </c>
      <c r="X399" s="8" t="str">
        <f aca="false">IF($A399="","",SUMIFS('Open demand'!$G:$G,'Open demand'!$A:$A,$AF399))</f>
        <v/>
      </c>
      <c r="Y399" s="8" t="str">
        <f aca="false">IF($L399&lt;&gt;"Planned","",N($H399)+$V399-$X399)</f>
        <v/>
      </c>
      <c r="Z399" s="19" t="str">
        <f aca="false">IF($L399&lt;&gt;"Planned","",IF($Y399&lt;=$S399,"Red",IF($Y399&lt;=$T399,"Yellow",IF($Y399&lt;=$U399,"Green","Above green"))))</f>
        <v/>
      </c>
      <c r="AA399" s="22" t="str">
        <f aca="false">IF(OR($L399&lt;&gt;"Planned",N($U399)&lt;=0),"",$Y399/$U399)</f>
        <v/>
      </c>
      <c r="AB399" s="8" t="str">
        <f aca="false">IF($L399&lt;&gt;"Planned","",IF($Y399&lt;=$T399,ROUNDUP(MAX($U399-$Y399,N($E399))/IF(N($F399)&gt;0,$F399,1)-0.000000001,0)*IF(N($F399)&gt;0,$F399,1),""))</f>
        <v/>
      </c>
      <c r="AC399" s="23" t="str">
        <f aca="false">IF(N($AB399)&gt;0,PlanDate+ROUNDUP($D399,0),"")</f>
        <v/>
      </c>
      <c r="AD399" s="19" t="str">
        <f aca="false">IF($L399&lt;&gt;"Planned","",IF(N($H399)&lt;=0,"Stockout",IF(N($H399)&lt;$S399*0.5,"Critical",IF(N($H399)&lt;=$S399,"Low",IF(N($H399)&gt;$U399,"Over top of green","OK")))))</f>
        <v/>
      </c>
      <c r="AE399" s="8" t="str">
        <f aca="false">IF($A399="","",$A399&amp;"")</f>
        <v/>
      </c>
      <c r="AF399" s="8" t="str">
        <f aca="false">IF($A399="","",SUBSTITUTE(SUBSTITUTE(SUBSTITUTE($A399&amp;"","~","~~"),"*","~*"),"?","~?"))</f>
        <v/>
      </c>
    </row>
    <row r="400" customFormat="false" ht="15" hidden="false" customHeight="false" outlineLevel="0" collapsed="false">
      <c r="A400" s="11"/>
      <c r="B400" s="11"/>
      <c r="C400" s="11"/>
      <c r="D400" s="16"/>
      <c r="E400" s="11"/>
      <c r="F400" s="11"/>
      <c r="G400" s="9"/>
      <c r="H400" s="11"/>
      <c r="I400" s="17"/>
      <c r="J400" s="18" t="str">
        <f aca="false">IF($A400="","",IF(COUNT(Usage!$C:$C)=0,"",MAX(0,SUMIFS(Usage!$C:$C,Usage!$A:$A,$AF400,Usage!$B:$B,"&gt;="&amp;(PlanDate-AduWindow),Usage!$B:$B,"&lt;"&amp;PlanDate))/AduWindow))</f>
        <v/>
      </c>
      <c r="K400" s="18" t="str">
        <f aca="false">IF($A400="","",IF(AND(ISNUMBER($I400),N($I400)&gt;=0),$I400,$J400))</f>
        <v/>
      </c>
      <c r="L400" s="19" t="str">
        <f aca="false">IF($A400="","",IF($K400="","Needs ADU",IF($K400&lt;=0,"No recent demand",IF(N($D400)&lt;=0,"Needs lead time","Planned"))))</f>
        <v/>
      </c>
      <c r="M400" s="8" t="str">
        <f aca="false">IF($A400="","",IF(ISNUMBER(MATCH($C400,Profiles!$A$2:$A$100,0)),$C400,DefaultProfile))</f>
        <v/>
      </c>
      <c r="N400" s="20" t="str">
        <f aca="false">IF($A400="","",INDEX(Profiles!$D$2:$D$100,MATCH($M400,Profiles!$A$2:$A$100,0)))</f>
        <v/>
      </c>
      <c r="O400" s="20" t="str">
        <f aca="false">IF($A400="","",INDEX(Profiles!$E$2:$E$100,MATCH($M400,Profiles!$A$2:$A$100,0)))</f>
        <v/>
      </c>
      <c r="P400" s="21" t="str">
        <f aca="false">IF($L400&lt;&gt;"Planned","",$K400*$D400*$N400*(1+$O400))</f>
        <v/>
      </c>
      <c r="Q400" s="21" t="str">
        <f aca="false">IF($L400&lt;&gt;"Planned","",$K400*$D400)</f>
        <v/>
      </c>
      <c r="R400" s="21" t="str">
        <f aca="false">IF($L400&lt;&gt;"Planned","",MAX(N($E400),$K400*$D400*$N400,$K400*N($G400)))</f>
        <v/>
      </c>
      <c r="S400" s="21" t="str">
        <f aca="false">IF($L400&lt;&gt;"Planned","",$P400)</f>
        <v/>
      </c>
      <c r="T400" s="21" t="str">
        <f aca="false">IF($L400&lt;&gt;"Planned","",$P400+$Q400)</f>
        <v/>
      </c>
      <c r="U400" s="21" t="str">
        <f aca="false">IF($L400&lt;&gt;"Planned","",$T400+$R400)</f>
        <v/>
      </c>
      <c r="V400" s="8" t="str">
        <f aca="false">IF($A400="","",SUMIFS('Open supply'!$C:$C,'Open supply'!$A:$A,$AF400))</f>
        <v/>
      </c>
      <c r="W400" s="8" t="str">
        <f aca="false">IF($A400="","",SUMIFS('Open supply'!$C:$C,'Open supply'!$A:$A,$AF400,'Open supply'!$B:$B,"&lt;"&amp;PlanDate))</f>
        <v/>
      </c>
      <c r="X400" s="8" t="str">
        <f aca="false">IF($A400="","",SUMIFS('Open demand'!$G:$G,'Open demand'!$A:$A,$AF400))</f>
        <v/>
      </c>
      <c r="Y400" s="8" t="str">
        <f aca="false">IF($L400&lt;&gt;"Planned","",N($H400)+$V400-$X400)</f>
        <v/>
      </c>
      <c r="Z400" s="19" t="str">
        <f aca="false">IF($L400&lt;&gt;"Planned","",IF($Y400&lt;=$S400,"Red",IF($Y400&lt;=$T400,"Yellow",IF($Y400&lt;=$U400,"Green","Above green"))))</f>
        <v/>
      </c>
      <c r="AA400" s="22" t="str">
        <f aca="false">IF(OR($L400&lt;&gt;"Planned",N($U400)&lt;=0),"",$Y400/$U400)</f>
        <v/>
      </c>
      <c r="AB400" s="8" t="str">
        <f aca="false">IF($L400&lt;&gt;"Planned","",IF($Y400&lt;=$T400,ROUNDUP(MAX($U400-$Y400,N($E400))/IF(N($F400)&gt;0,$F400,1)-0.000000001,0)*IF(N($F400)&gt;0,$F400,1),""))</f>
        <v/>
      </c>
      <c r="AC400" s="23" t="str">
        <f aca="false">IF(N($AB400)&gt;0,PlanDate+ROUNDUP($D400,0),"")</f>
        <v/>
      </c>
      <c r="AD400" s="19" t="str">
        <f aca="false">IF($L400&lt;&gt;"Planned","",IF(N($H400)&lt;=0,"Stockout",IF(N($H400)&lt;$S400*0.5,"Critical",IF(N($H400)&lt;=$S400,"Low",IF(N($H400)&gt;$U400,"Over top of green","OK")))))</f>
        <v/>
      </c>
      <c r="AE400" s="8" t="str">
        <f aca="false">IF($A400="","",$A400&amp;"")</f>
        <v/>
      </c>
      <c r="AF400" s="8" t="str">
        <f aca="false">IF($A400="","",SUBSTITUTE(SUBSTITUTE(SUBSTITUTE($A400&amp;"","~","~~"),"*","~*"),"?","~?"))</f>
        <v/>
      </c>
    </row>
    <row r="401" customFormat="false" ht="15" hidden="false" customHeight="false" outlineLevel="0" collapsed="false">
      <c r="A401" s="11"/>
      <c r="B401" s="11"/>
      <c r="C401" s="11"/>
      <c r="D401" s="16"/>
      <c r="E401" s="11"/>
      <c r="F401" s="11"/>
      <c r="G401" s="9"/>
      <c r="H401" s="11"/>
      <c r="I401" s="17"/>
      <c r="J401" s="18" t="str">
        <f aca="false">IF($A401="","",IF(COUNT(Usage!$C:$C)=0,"",MAX(0,SUMIFS(Usage!$C:$C,Usage!$A:$A,$AF401,Usage!$B:$B,"&gt;="&amp;(PlanDate-AduWindow),Usage!$B:$B,"&lt;"&amp;PlanDate))/AduWindow))</f>
        <v/>
      </c>
      <c r="K401" s="18" t="str">
        <f aca="false">IF($A401="","",IF(AND(ISNUMBER($I401),N($I401)&gt;=0),$I401,$J401))</f>
        <v/>
      </c>
      <c r="L401" s="19" t="str">
        <f aca="false">IF($A401="","",IF($K401="","Needs ADU",IF($K401&lt;=0,"No recent demand",IF(N($D401)&lt;=0,"Needs lead time","Planned"))))</f>
        <v/>
      </c>
      <c r="M401" s="8" t="str">
        <f aca="false">IF($A401="","",IF(ISNUMBER(MATCH($C401,Profiles!$A$2:$A$100,0)),$C401,DefaultProfile))</f>
        <v/>
      </c>
      <c r="N401" s="20" t="str">
        <f aca="false">IF($A401="","",INDEX(Profiles!$D$2:$D$100,MATCH($M401,Profiles!$A$2:$A$100,0)))</f>
        <v/>
      </c>
      <c r="O401" s="20" t="str">
        <f aca="false">IF($A401="","",INDEX(Profiles!$E$2:$E$100,MATCH($M401,Profiles!$A$2:$A$100,0)))</f>
        <v/>
      </c>
      <c r="P401" s="21" t="str">
        <f aca="false">IF($L401&lt;&gt;"Planned","",$K401*$D401*$N401*(1+$O401))</f>
        <v/>
      </c>
      <c r="Q401" s="21" t="str">
        <f aca="false">IF($L401&lt;&gt;"Planned","",$K401*$D401)</f>
        <v/>
      </c>
      <c r="R401" s="21" t="str">
        <f aca="false">IF($L401&lt;&gt;"Planned","",MAX(N($E401),$K401*$D401*$N401,$K401*N($G401)))</f>
        <v/>
      </c>
      <c r="S401" s="21" t="str">
        <f aca="false">IF($L401&lt;&gt;"Planned","",$P401)</f>
        <v/>
      </c>
      <c r="T401" s="21" t="str">
        <f aca="false">IF($L401&lt;&gt;"Planned","",$P401+$Q401)</f>
        <v/>
      </c>
      <c r="U401" s="21" t="str">
        <f aca="false">IF($L401&lt;&gt;"Planned","",$T401+$R401)</f>
        <v/>
      </c>
      <c r="V401" s="8" t="str">
        <f aca="false">IF($A401="","",SUMIFS('Open supply'!$C:$C,'Open supply'!$A:$A,$AF401))</f>
        <v/>
      </c>
      <c r="W401" s="8" t="str">
        <f aca="false">IF($A401="","",SUMIFS('Open supply'!$C:$C,'Open supply'!$A:$A,$AF401,'Open supply'!$B:$B,"&lt;"&amp;PlanDate))</f>
        <v/>
      </c>
      <c r="X401" s="8" t="str">
        <f aca="false">IF($A401="","",SUMIFS('Open demand'!$G:$G,'Open demand'!$A:$A,$AF401))</f>
        <v/>
      </c>
      <c r="Y401" s="8" t="str">
        <f aca="false">IF($L401&lt;&gt;"Planned","",N($H401)+$V401-$X401)</f>
        <v/>
      </c>
      <c r="Z401" s="19" t="str">
        <f aca="false">IF($L401&lt;&gt;"Planned","",IF($Y401&lt;=$S401,"Red",IF($Y401&lt;=$T401,"Yellow",IF($Y401&lt;=$U401,"Green","Above green"))))</f>
        <v/>
      </c>
      <c r="AA401" s="22" t="str">
        <f aca="false">IF(OR($L401&lt;&gt;"Planned",N($U401)&lt;=0),"",$Y401/$U401)</f>
        <v/>
      </c>
      <c r="AB401" s="8" t="str">
        <f aca="false">IF($L401&lt;&gt;"Planned","",IF($Y401&lt;=$T401,ROUNDUP(MAX($U401-$Y401,N($E401))/IF(N($F401)&gt;0,$F401,1)-0.000000001,0)*IF(N($F401)&gt;0,$F401,1),""))</f>
        <v/>
      </c>
      <c r="AC401" s="23" t="str">
        <f aca="false">IF(N($AB401)&gt;0,PlanDate+ROUNDUP($D401,0),"")</f>
        <v/>
      </c>
      <c r="AD401" s="19" t="str">
        <f aca="false">IF($L401&lt;&gt;"Planned","",IF(N($H401)&lt;=0,"Stockout",IF(N($H401)&lt;$S401*0.5,"Critical",IF(N($H401)&lt;=$S401,"Low",IF(N($H401)&gt;$U401,"Over top of green","OK")))))</f>
        <v/>
      </c>
      <c r="AE401" s="8" t="str">
        <f aca="false">IF($A401="","",$A401&amp;"")</f>
        <v/>
      </c>
      <c r="AF401" s="8" t="str">
        <f aca="false">IF($A401="","",SUBSTITUTE(SUBSTITUTE(SUBSTITUTE($A401&amp;"","~","~~"),"*","~*"),"?","~?"))</f>
        <v/>
      </c>
    </row>
    <row r="402" customFormat="false" ht="15" hidden="false" customHeight="false" outlineLevel="0" collapsed="false">
      <c r="A402" s="11"/>
      <c r="B402" s="11"/>
      <c r="C402" s="11"/>
      <c r="D402" s="16"/>
      <c r="E402" s="11"/>
      <c r="F402" s="11"/>
      <c r="G402" s="9"/>
      <c r="H402" s="11"/>
      <c r="I402" s="17"/>
      <c r="J402" s="18" t="str">
        <f aca="false">IF($A402="","",IF(COUNT(Usage!$C:$C)=0,"",MAX(0,SUMIFS(Usage!$C:$C,Usage!$A:$A,$AF402,Usage!$B:$B,"&gt;="&amp;(PlanDate-AduWindow),Usage!$B:$B,"&lt;"&amp;PlanDate))/AduWindow))</f>
        <v/>
      </c>
      <c r="K402" s="18" t="str">
        <f aca="false">IF($A402="","",IF(AND(ISNUMBER($I402),N($I402)&gt;=0),$I402,$J402))</f>
        <v/>
      </c>
      <c r="L402" s="19" t="str">
        <f aca="false">IF($A402="","",IF($K402="","Needs ADU",IF($K402&lt;=0,"No recent demand",IF(N($D402)&lt;=0,"Needs lead time","Planned"))))</f>
        <v/>
      </c>
      <c r="M402" s="8" t="str">
        <f aca="false">IF($A402="","",IF(ISNUMBER(MATCH($C402,Profiles!$A$2:$A$100,0)),$C402,DefaultProfile))</f>
        <v/>
      </c>
      <c r="N402" s="20" t="str">
        <f aca="false">IF($A402="","",INDEX(Profiles!$D$2:$D$100,MATCH($M402,Profiles!$A$2:$A$100,0)))</f>
        <v/>
      </c>
      <c r="O402" s="20" t="str">
        <f aca="false">IF($A402="","",INDEX(Profiles!$E$2:$E$100,MATCH($M402,Profiles!$A$2:$A$100,0)))</f>
        <v/>
      </c>
      <c r="P402" s="21" t="str">
        <f aca="false">IF($L402&lt;&gt;"Planned","",$K402*$D402*$N402*(1+$O402))</f>
        <v/>
      </c>
      <c r="Q402" s="21" t="str">
        <f aca="false">IF($L402&lt;&gt;"Planned","",$K402*$D402)</f>
        <v/>
      </c>
      <c r="R402" s="21" t="str">
        <f aca="false">IF($L402&lt;&gt;"Planned","",MAX(N($E402),$K402*$D402*$N402,$K402*N($G402)))</f>
        <v/>
      </c>
      <c r="S402" s="21" t="str">
        <f aca="false">IF($L402&lt;&gt;"Planned","",$P402)</f>
        <v/>
      </c>
      <c r="T402" s="21" t="str">
        <f aca="false">IF($L402&lt;&gt;"Planned","",$P402+$Q402)</f>
        <v/>
      </c>
      <c r="U402" s="21" t="str">
        <f aca="false">IF($L402&lt;&gt;"Planned","",$T402+$R402)</f>
        <v/>
      </c>
      <c r="V402" s="8" t="str">
        <f aca="false">IF($A402="","",SUMIFS('Open supply'!$C:$C,'Open supply'!$A:$A,$AF402))</f>
        <v/>
      </c>
      <c r="W402" s="8" t="str">
        <f aca="false">IF($A402="","",SUMIFS('Open supply'!$C:$C,'Open supply'!$A:$A,$AF402,'Open supply'!$B:$B,"&lt;"&amp;PlanDate))</f>
        <v/>
      </c>
      <c r="X402" s="8" t="str">
        <f aca="false">IF($A402="","",SUMIFS('Open demand'!$G:$G,'Open demand'!$A:$A,$AF402))</f>
        <v/>
      </c>
      <c r="Y402" s="8" t="str">
        <f aca="false">IF($L402&lt;&gt;"Planned","",N($H402)+$V402-$X402)</f>
        <v/>
      </c>
      <c r="Z402" s="19" t="str">
        <f aca="false">IF($L402&lt;&gt;"Planned","",IF($Y402&lt;=$S402,"Red",IF($Y402&lt;=$T402,"Yellow",IF($Y402&lt;=$U402,"Green","Above green"))))</f>
        <v/>
      </c>
      <c r="AA402" s="22" t="str">
        <f aca="false">IF(OR($L402&lt;&gt;"Planned",N($U402)&lt;=0),"",$Y402/$U402)</f>
        <v/>
      </c>
      <c r="AB402" s="8" t="str">
        <f aca="false">IF($L402&lt;&gt;"Planned","",IF($Y402&lt;=$T402,ROUNDUP(MAX($U402-$Y402,N($E402))/IF(N($F402)&gt;0,$F402,1)-0.000000001,0)*IF(N($F402)&gt;0,$F402,1),""))</f>
        <v/>
      </c>
      <c r="AC402" s="23" t="str">
        <f aca="false">IF(N($AB402)&gt;0,PlanDate+ROUNDUP($D402,0),"")</f>
        <v/>
      </c>
      <c r="AD402" s="19" t="str">
        <f aca="false">IF($L402&lt;&gt;"Planned","",IF(N($H402)&lt;=0,"Stockout",IF(N($H402)&lt;$S402*0.5,"Critical",IF(N($H402)&lt;=$S402,"Low",IF(N($H402)&gt;$U402,"Over top of green","OK")))))</f>
        <v/>
      </c>
      <c r="AE402" s="8" t="str">
        <f aca="false">IF($A402="","",$A402&amp;"")</f>
        <v/>
      </c>
      <c r="AF402" s="8" t="str">
        <f aca="false">IF($A402="","",SUBSTITUTE(SUBSTITUTE(SUBSTITUTE($A402&amp;"","~","~~"),"*","~*"),"?","~?"))</f>
        <v/>
      </c>
    </row>
    <row r="403" customFormat="false" ht="15" hidden="false" customHeight="false" outlineLevel="0" collapsed="false">
      <c r="A403" s="11"/>
      <c r="B403" s="11"/>
      <c r="C403" s="11"/>
      <c r="D403" s="16"/>
      <c r="E403" s="11"/>
      <c r="F403" s="11"/>
      <c r="G403" s="9"/>
      <c r="H403" s="11"/>
      <c r="I403" s="17"/>
      <c r="J403" s="18" t="str">
        <f aca="false">IF($A403="","",IF(COUNT(Usage!$C:$C)=0,"",MAX(0,SUMIFS(Usage!$C:$C,Usage!$A:$A,$AF403,Usage!$B:$B,"&gt;="&amp;(PlanDate-AduWindow),Usage!$B:$B,"&lt;"&amp;PlanDate))/AduWindow))</f>
        <v/>
      </c>
      <c r="K403" s="18" t="str">
        <f aca="false">IF($A403="","",IF(AND(ISNUMBER($I403),N($I403)&gt;=0),$I403,$J403))</f>
        <v/>
      </c>
      <c r="L403" s="19" t="str">
        <f aca="false">IF($A403="","",IF($K403="","Needs ADU",IF($K403&lt;=0,"No recent demand",IF(N($D403)&lt;=0,"Needs lead time","Planned"))))</f>
        <v/>
      </c>
      <c r="M403" s="8" t="str">
        <f aca="false">IF($A403="","",IF(ISNUMBER(MATCH($C403,Profiles!$A$2:$A$100,0)),$C403,DefaultProfile))</f>
        <v/>
      </c>
      <c r="N403" s="20" t="str">
        <f aca="false">IF($A403="","",INDEX(Profiles!$D$2:$D$100,MATCH($M403,Profiles!$A$2:$A$100,0)))</f>
        <v/>
      </c>
      <c r="O403" s="20" t="str">
        <f aca="false">IF($A403="","",INDEX(Profiles!$E$2:$E$100,MATCH($M403,Profiles!$A$2:$A$100,0)))</f>
        <v/>
      </c>
      <c r="P403" s="21" t="str">
        <f aca="false">IF($L403&lt;&gt;"Planned","",$K403*$D403*$N403*(1+$O403))</f>
        <v/>
      </c>
      <c r="Q403" s="21" t="str">
        <f aca="false">IF($L403&lt;&gt;"Planned","",$K403*$D403)</f>
        <v/>
      </c>
      <c r="R403" s="21" t="str">
        <f aca="false">IF($L403&lt;&gt;"Planned","",MAX(N($E403),$K403*$D403*$N403,$K403*N($G403)))</f>
        <v/>
      </c>
      <c r="S403" s="21" t="str">
        <f aca="false">IF($L403&lt;&gt;"Planned","",$P403)</f>
        <v/>
      </c>
      <c r="T403" s="21" t="str">
        <f aca="false">IF($L403&lt;&gt;"Planned","",$P403+$Q403)</f>
        <v/>
      </c>
      <c r="U403" s="21" t="str">
        <f aca="false">IF($L403&lt;&gt;"Planned","",$T403+$R403)</f>
        <v/>
      </c>
      <c r="V403" s="8" t="str">
        <f aca="false">IF($A403="","",SUMIFS('Open supply'!$C:$C,'Open supply'!$A:$A,$AF403))</f>
        <v/>
      </c>
      <c r="W403" s="8" t="str">
        <f aca="false">IF($A403="","",SUMIFS('Open supply'!$C:$C,'Open supply'!$A:$A,$AF403,'Open supply'!$B:$B,"&lt;"&amp;PlanDate))</f>
        <v/>
      </c>
      <c r="X403" s="8" t="str">
        <f aca="false">IF($A403="","",SUMIFS('Open demand'!$G:$G,'Open demand'!$A:$A,$AF403))</f>
        <v/>
      </c>
      <c r="Y403" s="8" t="str">
        <f aca="false">IF($L403&lt;&gt;"Planned","",N($H403)+$V403-$X403)</f>
        <v/>
      </c>
      <c r="Z403" s="19" t="str">
        <f aca="false">IF($L403&lt;&gt;"Planned","",IF($Y403&lt;=$S403,"Red",IF($Y403&lt;=$T403,"Yellow",IF($Y403&lt;=$U403,"Green","Above green"))))</f>
        <v/>
      </c>
      <c r="AA403" s="22" t="str">
        <f aca="false">IF(OR($L403&lt;&gt;"Planned",N($U403)&lt;=0),"",$Y403/$U403)</f>
        <v/>
      </c>
      <c r="AB403" s="8" t="str">
        <f aca="false">IF($L403&lt;&gt;"Planned","",IF($Y403&lt;=$T403,ROUNDUP(MAX($U403-$Y403,N($E403))/IF(N($F403)&gt;0,$F403,1)-0.000000001,0)*IF(N($F403)&gt;0,$F403,1),""))</f>
        <v/>
      </c>
      <c r="AC403" s="23" t="str">
        <f aca="false">IF(N($AB403)&gt;0,PlanDate+ROUNDUP($D403,0),"")</f>
        <v/>
      </c>
      <c r="AD403" s="19" t="str">
        <f aca="false">IF($L403&lt;&gt;"Planned","",IF(N($H403)&lt;=0,"Stockout",IF(N($H403)&lt;$S403*0.5,"Critical",IF(N($H403)&lt;=$S403,"Low",IF(N($H403)&gt;$U403,"Over top of green","OK")))))</f>
        <v/>
      </c>
      <c r="AE403" s="8" t="str">
        <f aca="false">IF($A403="","",$A403&amp;"")</f>
        <v/>
      </c>
      <c r="AF403" s="8" t="str">
        <f aca="false">IF($A403="","",SUBSTITUTE(SUBSTITUTE(SUBSTITUTE($A403&amp;"","~","~~"),"*","~*"),"?","~?"))</f>
        <v/>
      </c>
    </row>
    <row r="404" customFormat="false" ht="15" hidden="false" customHeight="false" outlineLevel="0" collapsed="false">
      <c r="A404" s="11"/>
      <c r="B404" s="11"/>
      <c r="C404" s="11"/>
      <c r="D404" s="16"/>
      <c r="E404" s="11"/>
      <c r="F404" s="11"/>
      <c r="G404" s="9"/>
      <c r="H404" s="11"/>
      <c r="I404" s="17"/>
      <c r="J404" s="18" t="str">
        <f aca="false">IF($A404="","",IF(COUNT(Usage!$C:$C)=0,"",MAX(0,SUMIFS(Usage!$C:$C,Usage!$A:$A,$AF404,Usage!$B:$B,"&gt;="&amp;(PlanDate-AduWindow),Usage!$B:$B,"&lt;"&amp;PlanDate))/AduWindow))</f>
        <v/>
      </c>
      <c r="K404" s="18" t="str">
        <f aca="false">IF($A404="","",IF(AND(ISNUMBER($I404),N($I404)&gt;=0),$I404,$J404))</f>
        <v/>
      </c>
      <c r="L404" s="19" t="str">
        <f aca="false">IF($A404="","",IF($K404="","Needs ADU",IF($K404&lt;=0,"No recent demand",IF(N($D404)&lt;=0,"Needs lead time","Planned"))))</f>
        <v/>
      </c>
      <c r="M404" s="8" t="str">
        <f aca="false">IF($A404="","",IF(ISNUMBER(MATCH($C404,Profiles!$A$2:$A$100,0)),$C404,DefaultProfile))</f>
        <v/>
      </c>
      <c r="N404" s="20" t="str">
        <f aca="false">IF($A404="","",INDEX(Profiles!$D$2:$D$100,MATCH($M404,Profiles!$A$2:$A$100,0)))</f>
        <v/>
      </c>
      <c r="O404" s="20" t="str">
        <f aca="false">IF($A404="","",INDEX(Profiles!$E$2:$E$100,MATCH($M404,Profiles!$A$2:$A$100,0)))</f>
        <v/>
      </c>
      <c r="P404" s="21" t="str">
        <f aca="false">IF($L404&lt;&gt;"Planned","",$K404*$D404*$N404*(1+$O404))</f>
        <v/>
      </c>
      <c r="Q404" s="21" t="str">
        <f aca="false">IF($L404&lt;&gt;"Planned","",$K404*$D404)</f>
        <v/>
      </c>
      <c r="R404" s="21" t="str">
        <f aca="false">IF($L404&lt;&gt;"Planned","",MAX(N($E404),$K404*$D404*$N404,$K404*N($G404)))</f>
        <v/>
      </c>
      <c r="S404" s="21" t="str">
        <f aca="false">IF($L404&lt;&gt;"Planned","",$P404)</f>
        <v/>
      </c>
      <c r="T404" s="21" t="str">
        <f aca="false">IF($L404&lt;&gt;"Planned","",$P404+$Q404)</f>
        <v/>
      </c>
      <c r="U404" s="21" t="str">
        <f aca="false">IF($L404&lt;&gt;"Planned","",$T404+$R404)</f>
        <v/>
      </c>
      <c r="V404" s="8" t="str">
        <f aca="false">IF($A404="","",SUMIFS('Open supply'!$C:$C,'Open supply'!$A:$A,$AF404))</f>
        <v/>
      </c>
      <c r="W404" s="8" t="str">
        <f aca="false">IF($A404="","",SUMIFS('Open supply'!$C:$C,'Open supply'!$A:$A,$AF404,'Open supply'!$B:$B,"&lt;"&amp;PlanDate))</f>
        <v/>
      </c>
      <c r="X404" s="8" t="str">
        <f aca="false">IF($A404="","",SUMIFS('Open demand'!$G:$G,'Open demand'!$A:$A,$AF404))</f>
        <v/>
      </c>
      <c r="Y404" s="8" t="str">
        <f aca="false">IF($L404&lt;&gt;"Planned","",N($H404)+$V404-$X404)</f>
        <v/>
      </c>
      <c r="Z404" s="19" t="str">
        <f aca="false">IF($L404&lt;&gt;"Planned","",IF($Y404&lt;=$S404,"Red",IF($Y404&lt;=$T404,"Yellow",IF($Y404&lt;=$U404,"Green","Above green"))))</f>
        <v/>
      </c>
      <c r="AA404" s="22" t="str">
        <f aca="false">IF(OR($L404&lt;&gt;"Planned",N($U404)&lt;=0),"",$Y404/$U404)</f>
        <v/>
      </c>
      <c r="AB404" s="8" t="str">
        <f aca="false">IF($L404&lt;&gt;"Planned","",IF($Y404&lt;=$T404,ROUNDUP(MAX($U404-$Y404,N($E404))/IF(N($F404)&gt;0,$F404,1)-0.000000001,0)*IF(N($F404)&gt;0,$F404,1),""))</f>
        <v/>
      </c>
      <c r="AC404" s="23" t="str">
        <f aca="false">IF(N($AB404)&gt;0,PlanDate+ROUNDUP($D404,0),"")</f>
        <v/>
      </c>
      <c r="AD404" s="19" t="str">
        <f aca="false">IF($L404&lt;&gt;"Planned","",IF(N($H404)&lt;=0,"Stockout",IF(N($H404)&lt;$S404*0.5,"Critical",IF(N($H404)&lt;=$S404,"Low",IF(N($H404)&gt;$U404,"Over top of green","OK")))))</f>
        <v/>
      </c>
      <c r="AE404" s="8" t="str">
        <f aca="false">IF($A404="","",$A404&amp;"")</f>
        <v/>
      </c>
      <c r="AF404" s="8" t="str">
        <f aca="false">IF($A404="","",SUBSTITUTE(SUBSTITUTE(SUBSTITUTE($A404&amp;"","~","~~"),"*","~*"),"?","~?"))</f>
        <v/>
      </c>
    </row>
    <row r="405" customFormat="false" ht="15" hidden="false" customHeight="false" outlineLevel="0" collapsed="false">
      <c r="A405" s="11"/>
      <c r="B405" s="11"/>
      <c r="C405" s="11"/>
      <c r="D405" s="16"/>
      <c r="E405" s="11"/>
      <c r="F405" s="11"/>
      <c r="G405" s="9"/>
      <c r="H405" s="11"/>
      <c r="I405" s="17"/>
      <c r="J405" s="18" t="str">
        <f aca="false">IF($A405="","",IF(COUNT(Usage!$C:$C)=0,"",MAX(0,SUMIFS(Usage!$C:$C,Usage!$A:$A,$AF405,Usage!$B:$B,"&gt;="&amp;(PlanDate-AduWindow),Usage!$B:$B,"&lt;"&amp;PlanDate))/AduWindow))</f>
        <v/>
      </c>
      <c r="K405" s="18" t="str">
        <f aca="false">IF($A405="","",IF(AND(ISNUMBER($I405),N($I405)&gt;=0),$I405,$J405))</f>
        <v/>
      </c>
      <c r="L405" s="19" t="str">
        <f aca="false">IF($A405="","",IF($K405="","Needs ADU",IF($K405&lt;=0,"No recent demand",IF(N($D405)&lt;=0,"Needs lead time","Planned"))))</f>
        <v/>
      </c>
      <c r="M405" s="8" t="str">
        <f aca="false">IF($A405="","",IF(ISNUMBER(MATCH($C405,Profiles!$A$2:$A$100,0)),$C405,DefaultProfile))</f>
        <v/>
      </c>
      <c r="N405" s="20" t="str">
        <f aca="false">IF($A405="","",INDEX(Profiles!$D$2:$D$100,MATCH($M405,Profiles!$A$2:$A$100,0)))</f>
        <v/>
      </c>
      <c r="O405" s="20" t="str">
        <f aca="false">IF($A405="","",INDEX(Profiles!$E$2:$E$100,MATCH($M405,Profiles!$A$2:$A$100,0)))</f>
        <v/>
      </c>
      <c r="P405" s="21" t="str">
        <f aca="false">IF($L405&lt;&gt;"Planned","",$K405*$D405*$N405*(1+$O405))</f>
        <v/>
      </c>
      <c r="Q405" s="21" t="str">
        <f aca="false">IF($L405&lt;&gt;"Planned","",$K405*$D405)</f>
        <v/>
      </c>
      <c r="R405" s="21" t="str">
        <f aca="false">IF($L405&lt;&gt;"Planned","",MAX(N($E405),$K405*$D405*$N405,$K405*N($G405)))</f>
        <v/>
      </c>
      <c r="S405" s="21" t="str">
        <f aca="false">IF($L405&lt;&gt;"Planned","",$P405)</f>
        <v/>
      </c>
      <c r="T405" s="21" t="str">
        <f aca="false">IF($L405&lt;&gt;"Planned","",$P405+$Q405)</f>
        <v/>
      </c>
      <c r="U405" s="21" t="str">
        <f aca="false">IF($L405&lt;&gt;"Planned","",$T405+$R405)</f>
        <v/>
      </c>
      <c r="V405" s="8" t="str">
        <f aca="false">IF($A405="","",SUMIFS('Open supply'!$C:$C,'Open supply'!$A:$A,$AF405))</f>
        <v/>
      </c>
      <c r="W405" s="8" t="str">
        <f aca="false">IF($A405="","",SUMIFS('Open supply'!$C:$C,'Open supply'!$A:$A,$AF405,'Open supply'!$B:$B,"&lt;"&amp;PlanDate))</f>
        <v/>
      </c>
      <c r="X405" s="8" t="str">
        <f aca="false">IF($A405="","",SUMIFS('Open demand'!$G:$G,'Open demand'!$A:$A,$AF405))</f>
        <v/>
      </c>
      <c r="Y405" s="8" t="str">
        <f aca="false">IF($L405&lt;&gt;"Planned","",N($H405)+$V405-$X405)</f>
        <v/>
      </c>
      <c r="Z405" s="19" t="str">
        <f aca="false">IF($L405&lt;&gt;"Planned","",IF($Y405&lt;=$S405,"Red",IF($Y405&lt;=$T405,"Yellow",IF($Y405&lt;=$U405,"Green","Above green"))))</f>
        <v/>
      </c>
      <c r="AA405" s="22" t="str">
        <f aca="false">IF(OR($L405&lt;&gt;"Planned",N($U405)&lt;=0),"",$Y405/$U405)</f>
        <v/>
      </c>
      <c r="AB405" s="8" t="str">
        <f aca="false">IF($L405&lt;&gt;"Planned","",IF($Y405&lt;=$T405,ROUNDUP(MAX($U405-$Y405,N($E405))/IF(N($F405)&gt;0,$F405,1)-0.000000001,0)*IF(N($F405)&gt;0,$F405,1),""))</f>
        <v/>
      </c>
      <c r="AC405" s="23" t="str">
        <f aca="false">IF(N($AB405)&gt;0,PlanDate+ROUNDUP($D405,0),"")</f>
        <v/>
      </c>
      <c r="AD405" s="19" t="str">
        <f aca="false">IF($L405&lt;&gt;"Planned","",IF(N($H405)&lt;=0,"Stockout",IF(N($H405)&lt;$S405*0.5,"Critical",IF(N($H405)&lt;=$S405,"Low",IF(N($H405)&gt;$U405,"Over top of green","OK")))))</f>
        <v/>
      </c>
      <c r="AE405" s="8" t="str">
        <f aca="false">IF($A405="","",$A405&amp;"")</f>
        <v/>
      </c>
      <c r="AF405" s="8" t="str">
        <f aca="false">IF($A405="","",SUBSTITUTE(SUBSTITUTE(SUBSTITUTE($A405&amp;"","~","~~"),"*","~*"),"?","~?"))</f>
        <v/>
      </c>
    </row>
    <row r="406" customFormat="false" ht="15" hidden="false" customHeight="false" outlineLevel="0" collapsed="false">
      <c r="A406" s="11"/>
      <c r="B406" s="11"/>
      <c r="C406" s="11"/>
      <c r="D406" s="16"/>
      <c r="E406" s="11"/>
      <c r="F406" s="11"/>
      <c r="G406" s="9"/>
      <c r="H406" s="11"/>
      <c r="I406" s="17"/>
      <c r="J406" s="18" t="str">
        <f aca="false">IF($A406="","",IF(COUNT(Usage!$C:$C)=0,"",MAX(0,SUMIFS(Usage!$C:$C,Usage!$A:$A,$AF406,Usage!$B:$B,"&gt;="&amp;(PlanDate-AduWindow),Usage!$B:$B,"&lt;"&amp;PlanDate))/AduWindow))</f>
        <v/>
      </c>
      <c r="K406" s="18" t="str">
        <f aca="false">IF($A406="","",IF(AND(ISNUMBER($I406),N($I406)&gt;=0),$I406,$J406))</f>
        <v/>
      </c>
      <c r="L406" s="19" t="str">
        <f aca="false">IF($A406="","",IF($K406="","Needs ADU",IF($K406&lt;=0,"No recent demand",IF(N($D406)&lt;=0,"Needs lead time","Planned"))))</f>
        <v/>
      </c>
      <c r="M406" s="8" t="str">
        <f aca="false">IF($A406="","",IF(ISNUMBER(MATCH($C406,Profiles!$A$2:$A$100,0)),$C406,DefaultProfile))</f>
        <v/>
      </c>
      <c r="N406" s="20" t="str">
        <f aca="false">IF($A406="","",INDEX(Profiles!$D$2:$D$100,MATCH($M406,Profiles!$A$2:$A$100,0)))</f>
        <v/>
      </c>
      <c r="O406" s="20" t="str">
        <f aca="false">IF($A406="","",INDEX(Profiles!$E$2:$E$100,MATCH($M406,Profiles!$A$2:$A$100,0)))</f>
        <v/>
      </c>
      <c r="P406" s="21" t="str">
        <f aca="false">IF($L406&lt;&gt;"Planned","",$K406*$D406*$N406*(1+$O406))</f>
        <v/>
      </c>
      <c r="Q406" s="21" t="str">
        <f aca="false">IF($L406&lt;&gt;"Planned","",$K406*$D406)</f>
        <v/>
      </c>
      <c r="R406" s="21" t="str">
        <f aca="false">IF($L406&lt;&gt;"Planned","",MAX(N($E406),$K406*$D406*$N406,$K406*N($G406)))</f>
        <v/>
      </c>
      <c r="S406" s="21" t="str">
        <f aca="false">IF($L406&lt;&gt;"Planned","",$P406)</f>
        <v/>
      </c>
      <c r="T406" s="21" t="str">
        <f aca="false">IF($L406&lt;&gt;"Planned","",$P406+$Q406)</f>
        <v/>
      </c>
      <c r="U406" s="21" t="str">
        <f aca="false">IF($L406&lt;&gt;"Planned","",$T406+$R406)</f>
        <v/>
      </c>
      <c r="V406" s="8" t="str">
        <f aca="false">IF($A406="","",SUMIFS('Open supply'!$C:$C,'Open supply'!$A:$A,$AF406))</f>
        <v/>
      </c>
      <c r="W406" s="8" t="str">
        <f aca="false">IF($A406="","",SUMIFS('Open supply'!$C:$C,'Open supply'!$A:$A,$AF406,'Open supply'!$B:$B,"&lt;"&amp;PlanDate))</f>
        <v/>
      </c>
      <c r="X406" s="8" t="str">
        <f aca="false">IF($A406="","",SUMIFS('Open demand'!$G:$G,'Open demand'!$A:$A,$AF406))</f>
        <v/>
      </c>
      <c r="Y406" s="8" t="str">
        <f aca="false">IF($L406&lt;&gt;"Planned","",N($H406)+$V406-$X406)</f>
        <v/>
      </c>
      <c r="Z406" s="19" t="str">
        <f aca="false">IF($L406&lt;&gt;"Planned","",IF($Y406&lt;=$S406,"Red",IF($Y406&lt;=$T406,"Yellow",IF($Y406&lt;=$U406,"Green","Above green"))))</f>
        <v/>
      </c>
      <c r="AA406" s="22" t="str">
        <f aca="false">IF(OR($L406&lt;&gt;"Planned",N($U406)&lt;=0),"",$Y406/$U406)</f>
        <v/>
      </c>
      <c r="AB406" s="8" t="str">
        <f aca="false">IF($L406&lt;&gt;"Planned","",IF($Y406&lt;=$T406,ROUNDUP(MAX($U406-$Y406,N($E406))/IF(N($F406)&gt;0,$F406,1)-0.000000001,0)*IF(N($F406)&gt;0,$F406,1),""))</f>
        <v/>
      </c>
      <c r="AC406" s="23" t="str">
        <f aca="false">IF(N($AB406)&gt;0,PlanDate+ROUNDUP($D406,0),"")</f>
        <v/>
      </c>
      <c r="AD406" s="19" t="str">
        <f aca="false">IF($L406&lt;&gt;"Planned","",IF(N($H406)&lt;=0,"Stockout",IF(N($H406)&lt;$S406*0.5,"Critical",IF(N($H406)&lt;=$S406,"Low",IF(N($H406)&gt;$U406,"Over top of green","OK")))))</f>
        <v/>
      </c>
      <c r="AE406" s="8" t="str">
        <f aca="false">IF($A406="","",$A406&amp;"")</f>
        <v/>
      </c>
      <c r="AF406" s="8" t="str">
        <f aca="false">IF($A406="","",SUBSTITUTE(SUBSTITUTE(SUBSTITUTE($A406&amp;"","~","~~"),"*","~*"),"?","~?"))</f>
        <v/>
      </c>
    </row>
    <row r="407" customFormat="false" ht="15" hidden="false" customHeight="false" outlineLevel="0" collapsed="false">
      <c r="A407" s="11"/>
      <c r="B407" s="11"/>
      <c r="C407" s="11"/>
      <c r="D407" s="16"/>
      <c r="E407" s="11"/>
      <c r="F407" s="11"/>
      <c r="G407" s="9"/>
      <c r="H407" s="11"/>
      <c r="I407" s="17"/>
      <c r="J407" s="18" t="str">
        <f aca="false">IF($A407="","",IF(COUNT(Usage!$C:$C)=0,"",MAX(0,SUMIFS(Usage!$C:$C,Usage!$A:$A,$AF407,Usage!$B:$B,"&gt;="&amp;(PlanDate-AduWindow),Usage!$B:$B,"&lt;"&amp;PlanDate))/AduWindow))</f>
        <v/>
      </c>
      <c r="K407" s="18" t="str">
        <f aca="false">IF($A407="","",IF(AND(ISNUMBER($I407),N($I407)&gt;=0),$I407,$J407))</f>
        <v/>
      </c>
      <c r="L407" s="19" t="str">
        <f aca="false">IF($A407="","",IF($K407="","Needs ADU",IF($K407&lt;=0,"No recent demand",IF(N($D407)&lt;=0,"Needs lead time","Planned"))))</f>
        <v/>
      </c>
      <c r="M407" s="8" t="str">
        <f aca="false">IF($A407="","",IF(ISNUMBER(MATCH($C407,Profiles!$A$2:$A$100,0)),$C407,DefaultProfile))</f>
        <v/>
      </c>
      <c r="N407" s="20" t="str">
        <f aca="false">IF($A407="","",INDEX(Profiles!$D$2:$D$100,MATCH($M407,Profiles!$A$2:$A$100,0)))</f>
        <v/>
      </c>
      <c r="O407" s="20" t="str">
        <f aca="false">IF($A407="","",INDEX(Profiles!$E$2:$E$100,MATCH($M407,Profiles!$A$2:$A$100,0)))</f>
        <v/>
      </c>
      <c r="P407" s="21" t="str">
        <f aca="false">IF($L407&lt;&gt;"Planned","",$K407*$D407*$N407*(1+$O407))</f>
        <v/>
      </c>
      <c r="Q407" s="21" t="str">
        <f aca="false">IF($L407&lt;&gt;"Planned","",$K407*$D407)</f>
        <v/>
      </c>
      <c r="R407" s="21" t="str">
        <f aca="false">IF($L407&lt;&gt;"Planned","",MAX(N($E407),$K407*$D407*$N407,$K407*N($G407)))</f>
        <v/>
      </c>
      <c r="S407" s="21" t="str">
        <f aca="false">IF($L407&lt;&gt;"Planned","",$P407)</f>
        <v/>
      </c>
      <c r="T407" s="21" t="str">
        <f aca="false">IF($L407&lt;&gt;"Planned","",$P407+$Q407)</f>
        <v/>
      </c>
      <c r="U407" s="21" t="str">
        <f aca="false">IF($L407&lt;&gt;"Planned","",$T407+$R407)</f>
        <v/>
      </c>
      <c r="V407" s="8" t="str">
        <f aca="false">IF($A407="","",SUMIFS('Open supply'!$C:$C,'Open supply'!$A:$A,$AF407))</f>
        <v/>
      </c>
      <c r="W407" s="8" t="str">
        <f aca="false">IF($A407="","",SUMIFS('Open supply'!$C:$C,'Open supply'!$A:$A,$AF407,'Open supply'!$B:$B,"&lt;"&amp;PlanDate))</f>
        <v/>
      </c>
      <c r="X407" s="8" t="str">
        <f aca="false">IF($A407="","",SUMIFS('Open demand'!$G:$G,'Open demand'!$A:$A,$AF407))</f>
        <v/>
      </c>
      <c r="Y407" s="8" t="str">
        <f aca="false">IF($L407&lt;&gt;"Planned","",N($H407)+$V407-$X407)</f>
        <v/>
      </c>
      <c r="Z407" s="19" t="str">
        <f aca="false">IF($L407&lt;&gt;"Planned","",IF($Y407&lt;=$S407,"Red",IF($Y407&lt;=$T407,"Yellow",IF($Y407&lt;=$U407,"Green","Above green"))))</f>
        <v/>
      </c>
      <c r="AA407" s="22" t="str">
        <f aca="false">IF(OR($L407&lt;&gt;"Planned",N($U407)&lt;=0),"",$Y407/$U407)</f>
        <v/>
      </c>
      <c r="AB407" s="8" t="str">
        <f aca="false">IF($L407&lt;&gt;"Planned","",IF($Y407&lt;=$T407,ROUNDUP(MAX($U407-$Y407,N($E407))/IF(N($F407)&gt;0,$F407,1)-0.000000001,0)*IF(N($F407)&gt;0,$F407,1),""))</f>
        <v/>
      </c>
      <c r="AC407" s="23" t="str">
        <f aca="false">IF(N($AB407)&gt;0,PlanDate+ROUNDUP($D407,0),"")</f>
        <v/>
      </c>
      <c r="AD407" s="19" t="str">
        <f aca="false">IF($L407&lt;&gt;"Planned","",IF(N($H407)&lt;=0,"Stockout",IF(N($H407)&lt;$S407*0.5,"Critical",IF(N($H407)&lt;=$S407,"Low",IF(N($H407)&gt;$U407,"Over top of green","OK")))))</f>
        <v/>
      </c>
      <c r="AE407" s="8" t="str">
        <f aca="false">IF($A407="","",$A407&amp;"")</f>
        <v/>
      </c>
      <c r="AF407" s="8" t="str">
        <f aca="false">IF($A407="","",SUBSTITUTE(SUBSTITUTE(SUBSTITUTE($A407&amp;"","~","~~"),"*","~*"),"?","~?"))</f>
        <v/>
      </c>
    </row>
    <row r="408" customFormat="false" ht="15" hidden="false" customHeight="false" outlineLevel="0" collapsed="false">
      <c r="A408" s="11"/>
      <c r="B408" s="11"/>
      <c r="C408" s="11"/>
      <c r="D408" s="16"/>
      <c r="E408" s="11"/>
      <c r="F408" s="11"/>
      <c r="G408" s="9"/>
      <c r="H408" s="11"/>
      <c r="I408" s="17"/>
      <c r="J408" s="18" t="str">
        <f aca="false">IF($A408="","",IF(COUNT(Usage!$C:$C)=0,"",MAX(0,SUMIFS(Usage!$C:$C,Usage!$A:$A,$AF408,Usage!$B:$B,"&gt;="&amp;(PlanDate-AduWindow),Usage!$B:$B,"&lt;"&amp;PlanDate))/AduWindow))</f>
        <v/>
      </c>
      <c r="K408" s="18" t="str">
        <f aca="false">IF($A408="","",IF(AND(ISNUMBER($I408),N($I408)&gt;=0),$I408,$J408))</f>
        <v/>
      </c>
      <c r="L408" s="19" t="str">
        <f aca="false">IF($A408="","",IF($K408="","Needs ADU",IF($K408&lt;=0,"No recent demand",IF(N($D408)&lt;=0,"Needs lead time","Planned"))))</f>
        <v/>
      </c>
      <c r="M408" s="8" t="str">
        <f aca="false">IF($A408="","",IF(ISNUMBER(MATCH($C408,Profiles!$A$2:$A$100,0)),$C408,DefaultProfile))</f>
        <v/>
      </c>
      <c r="N408" s="20" t="str">
        <f aca="false">IF($A408="","",INDEX(Profiles!$D$2:$D$100,MATCH($M408,Profiles!$A$2:$A$100,0)))</f>
        <v/>
      </c>
      <c r="O408" s="20" t="str">
        <f aca="false">IF($A408="","",INDEX(Profiles!$E$2:$E$100,MATCH($M408,Profiles!$A$2:$A$100,0)))</f>
        <v/>
      </c>
      <c r="P408" s="21" t="str">
        <f aca="false">IF($L408&lt;&gt;"Planned","",$K408*$D408*$N408*(1+$O408))</f>
        <v/>
      </c>
      <c r="Q408" s="21" t="str">
        <f aca="false">IF($L408&lt;&gt;"Planned","",$K408*$D408)</f>
        <v/>
      </c>
      <c r="R408" s="21" t="str">
        <f aca="false">IF($L408&lt;&gt;"Planned","",MAX(N($E408),$K408*$D408*$N408,$K408*N($G408)))</f>
        <v/>
      </c>
      <c r="S408" s="21" t="str">
        <f aca="false">IF($L408&lt;&gt;"Planned","",$P408)</f>
        <v/>
      </c>
      <c r="T408" s="21" t="str">
        <f aca="false">IF($L408&lt;&gt;"Planned","",$P408+$Q408)</f>
        <v/>
      </c>
      <c r="U408" s="21" t="str">
        <f aca="false">IF($L408&lt;&gt;"Planned","",$T408+$R408)</f>
        <v/>
      </c>
      <c r="V408" s="8" t="str">
        <f aca="false">IF($A408="","",SUMIFS('Open supply'!$C:$C,'Open supply'!$A:$A,$AF408))</f>
        <v/>
      </c>
      <c r="W408" s="8" t="str">
        <f aca="false">IF($A408="","",SUMIFS('Open supply'!$C:$C,'Open supply'!$A:$A,$AF408,'Open supply'!$B:$B,"&lt;"&amp;PlanDate))</f>
        <v/>
      </c>
      <c r="X408" s="8" t="str">
        <f aca="false">IF($A408="","",SUMIFS('Open demand'!$G:$G,'Open demand'!$A:$A,$AF408))</f>
        <v/>
      </c>
      <c r="Y408" s="8" t="str">
        <f aca="false">IF($L408&lt;&gt;"Planned","",N($H408)+$V408-$X408)</f>
        <v/>
      </c>
      <c r="Z408" s="19" t="str">
        <f aca="false">IF($L408&lt;&gt;"Planned","",IF($Y408&lt;=$S408,"Red",IF($Y408&lt;=$T408,"Yellow",IF($Y408&lt;=$U408,"Green","Above green"))))</f>
        <v/>
      </c>
      <c r="AA408" s="22" t="str">
        <f aca="false">IF(OR($L408&lt;&gt;"Planned",N($U408)&lt;=0),"",$Y408/$U408)</f>
        <v/>
      </c>
      <c r="AB408" s="8" t="str">
        <f aca="false">IF($L408&lt;&gt;"Planned","",IF($Y408&lt;=$T408,ROUNDUP(MAX($U408-$Y408,N($E408))/IF(N($F408)&gt;0,$F408,1)-0.000000001,0)*IF(N($F408)&gt;0,$F408,1),""))</f>
        <v/>
      </c>
      <c r="AC408" s="23" t="str">
        <f aca="false">IF(N($AB408)&gt;0,PlanDate+ROUNDUP($D408,0),"")</f>
        <v/>
      </c>
      <c r="AD408" s="19" t="str">
        <f aca="false">IF($L408&lt;&gt;"Planned","",IF(N($H408)&lt;=0,"Stockout",IF(N($H408)&lt;$S408*0.5,"Critical",IF(N($H408)&lt;=$S408,"Low",IF(N($H408)&gt;$U408,"Over top of green","OK")))))</f>
        <v/>
      </c>
      <c r="AE408" s="8" t="str">
        <f aca="false">IF($A408="","",$A408&amp;"")</f>
        <v/>
      </c>
      <c r="AF408" s="8" t="str">
        <f aca="false">IF($A408="","",SUBSTITUTE(SUBSTITUTE(SUBSTITUTE($A408&amp;"","~","~~"),"*","~*"),"?","~?"))</f>
        <v/>
      </c>
    </row>
    <row r="409" customFormat="false" ht="15" hidden="false" customHeight="false" outlineLevel="0" collapsed="false">
      <c r="A409" s="11"/>
      <c r="B409" s="11"/>
      <c r="C409" s="11"/>
      <c r="D409" s="16"/>
      <c r="E409" s="11"/>
      <c r="F409" s="11"/>
      <c r="G409" s="9"/>
      <c r="H409" s="11"/>
      <c r="I409" s="17"/>
      <c r="J409" s="18" t="str">
        <f aca="false">IF($A409="","",IF(COUNT(Usage!$C:$C)=0,"",MAX(0,SUMIFS(Usage!$C:$C,Usage!$A:$A,$AF409,Usage!$B:$B,"&gt;="&amp;(PlanDate-AduWindow),Usage!$B:$B,"&lt;"&amp;PlanDate))/AduWindow))</f>
        <v/>
      </c>
      <c r="K409" s="18" t="str">
        <f aca="false">IF($A409="","",IF(AND(ISNUMBER($I409),N($I409)&gt;=0),$I409,$J409))</f>
        <v/>
      </c>
      <c r="L409" s="19" t="str">
        <f aca="false">IF($A409="","",IF($K409="","Needs ADU",IF($K409&lt;=0,"No recent demand",IF(N($D409)&lt;=0,"Needs lead time","Planned"))))</f>
        <v/>
      </c>
      <c r="M409" s="8" t="str">
        <f aca="false">IF($A409="","",IF(ISNUMBER(MATCH($C409,Profiles!$A$2:$A$100,0)),$C409,DefaultProfile))</f>
        <v/>
      </c>
      <c r="N409" s="20" t="str">
        <f aca="false">IF($A409="","",INDEX(Profiles!$D$2:$D$100,MATCH($M409,Profiles!$A$2:$A$100,0)))</f>
        <v/>
      </c>
      <c r="O409" s="20" t="str">
        <f aca="false">IF($A409="","",INDEX(Profiles!$E$2:$E$100,MATCH($M409,Profiles!$A$2:$A$100,0)))</f>
        <v/>
      </c>
      <c r="P409" s="21" t="str">
        <f aca="false">IF($L409&lt;&gt;"Planned","",$K409*$D409*$N409*(1+$O409))</f>
        <v/>
      </c>
      <c r="Q409" s="21" t="str">
        <f aca="false">IF($L409&lt;&gt;"Planned","",$K409*$D409)</f>
        <v/>
      </c>
      <c r="R409" s="21" t="str">
        <f aca="false">IF($L409&lt;&gt;"Planned","",MAX(N($E409),$K409*$D409*$N409,$K409*N($G409)))</f>
        <v/>
      </c>
      <c r="S409" s="21" t="str">
        <f aca="false">IF($L409&lt;&gt;"Planned","",$P409)</f>
        <v/>
      </c>
      <c r="T409" s="21" t="str">
        <f aca="false">IF($L409&lt;&gt;"Planned","",$P409+$Q409)</f>
        <v/>
      </c>
      <c r="U409" s="21" t="str">
        <f aca="false">IF($L409&lt;&gt;"Planned","",$T409+$R409)</f>
        <v/>
      </c>
      <c r="V409" s="8" t="str">
        <f aca="false">IF($A409="","",SUMIFS('Open supply'!$C:$C,'Open supply'!$A:$A,$AF409))</f>
        <v/>
      </c>
      <c r="W409" s="8" t="str">
        <f aca="false">IF($A409="","",SUMIFS('Open supply'!$C:$C,'Open supply'!$A:$A,$AF409,'Open supply'!$B:$B,"&lt;"&amp;PlanDate))</f>
        <v/>
      </c>
      <c r="X409" s="8" t="str">
        <f aca="false">IF($A409="","",SUMIFS('Open demand'!$G:$G,'Open demand'!$A:$A,$AF409))</f>
        <v/>
      </c>
      <c r="Y409" s="8" t="str">
        <f aca="false">IF($L409&lt;&gt;"Planned","",N($H409)+$V409-$X409)</f>
        <v/>
      </c>
      <c r="Z409" s="19" t="str">
        <f aca="false">IF($L409&lt;&gt;"Planned","",IF($Y409&lt;=$S409,"Red",IF($Y409&lt;=$T409,"Yellow",IF($Y409&lt;=$U409,"Green","Above green"))))</f>
        <v/>
      </c>
      <c r="AA409" s="22" t="str">
        <f aca="false">IF(OR($L409&lt;&gt;"Planned",N($U409)&lt;=0),"",$Y409/$U409)</f>
        <v/>
      </c>
      <c r="AB409" s="8" t="str">
        <f aca="false">IF($L409&lt;&gt;"Planned","",IF($Y409&lt;=$T409,ROUNDUP(MAX($U409-$Y409,N($E409))/IF(N($F409)&gt;0,$F409,1)-0.000000001,0)*IF(N($F409)&gt;0,$F409,1),""))</f>
        <v/>
      </c>
      <c r="AC409" s="23" t="str">
        <f aca="false">IF(N($AB409)&gt;0,PlanDate+ROUNDUP($D409,0),"")</f>
        <v/>
      </c>
      <c r="AD409" s="19" t="str">
        <f aca="false">IF($L409&lt;&gt;"Planned","",IF(N($H409)&lt;=0,"Stockout",IF(N($H409)&lt;$S409*0.5,"Critical",IF(N($H409)&lt;=$S409,"Low",IF(N($H409)&gt;$U409,"Over top of green","OK")))))</f>
        <v/>
      </c>
      <c r="AE409" s="8" t="str">
        <f aca="false">IF($A409="","",$A409&amp;"")</f>
        <v/>
      </c>
      <c r="AF409" s="8" t="str">
        <f aca="false">IF($A409="","",SUBSTITUTE(SUBSTITUTE(SUBSTITUTE($A409&amp;"","~","~~"),"*","~*"),"?","~?"))</f>
        <v/>
      </c>
    </row>
    <row r="410" customFormat="false" ht="15" hidden="false" customHeight="false" outlineLevel="0" collapsed="false">
      <c r="A410" s="11"/>
      <c r="B410" s="11"/>
      <c r="C410" s="11"/>
      <c r="D410" s="16"/>
      <c r="E410" s="11"/>
      <c r="F410" s="11"/>
      <c r="G410" s="9"/>
      <c r="H410" s="11"/>
      <c r="I410" s="17"/>
      <c r="J410" s="18" t="str">
        <f aca="false">IF($A410="","",IF(COUNT(Usage!$C:$C)=0,"",MAX(0,SUMIFS(Usage!$C:$C,Usage!$A:$A,$AF410,Usage!$B:$B,"&gt;="&amp;(PlanDate-AduWindow),Usage!$B:$B,"&lt;"&amp;PlanDate))/AduWindow))</f>
        <v/>
      </c>
      <c r="K410" s="18" t="str">
        <f aca="false">IF($A410="","",IF(AND(ISNUMBER($I410),N($I410)&gt;=0),$I410,$J410))</f>
        <v/>
      </c>
      <c r="L410" s="19" t="str">
        <f aca="false">IF($A410="","",IF($K410="","Needs ADU",IF($K410&lt;=0,"No recent demand",IF(N($D410)&lt;=0,"Needs lead time","Planned"))))</f>
        <v/>
      </c>
      <c r="M410" s="8" t="str">
        <f aca="false">IF($A410="","",IF(ISNUMBER(MATCH($C410,Profiles!$A$2:$A$100,0)),$C410,DefaultProfile))</f>
        <v/>
      </c>
      <c r="N410" s="20" t="str">
        <f aca="false">IF($A410="","",INDEX(Profiles!$D$2:$D$100,MATCH($M410,Profiles!$A$2:$A$100,0)))</f>
        <v/>
      </c>
      <c r="O410" s="20" t="str">
        <f aca="false">IF($A410="","",INDEX(Profiles!$E$2:$E$100,MATCH($M410,Profiles!$A$2:$A$100,0)))</f>
        <v/>
      </c>
      <c r="P410" s="21" t="str">
        <f aca="false">IF($L410&lt;&gt;"Planned","",$K410*$D410*$N410*(1+$O410))</f>
        <v/>
      </c>
      <c r="Q410" s="21" t="str">
        <f aca="false">IF($L410&lt;&gt;"Planned","",$K410*$D410)</f>
        <v/>
      </c>
      <c r="R410" s="21" t="str">
        <f aca="false">IF($L410&lt;&gt;"Planned","",MAX(N($E410),$K410*$D410*$N410,$K410*N($G410)))</f>
        <v/>
      </c>
      <c r="S410" s="21" t="str">
        <f aca="false">IF($L410&lt;&gt;"Planned","",$P410)</f>
        <v/>
      </c>
      <c r="T410" s="21" t="str">
        <f aca="false">IF($L410&lt;&gt;"Planned","",$P410+$Q410)</f>
        <v/>
      </c>
      <c r="U410" s="21" t="str">
        <f aca="false">IF($L410&lt;&gt;"Planned","",$T410+$R410)</f>
        <v/>
      </c>
      <c r="V410" s="8" t="str">
        <f aca="false">IF($A410="","",SUMIFS('Open supply'!$C:$C,'Open supply'!$A:$A,$AF410))</f>
        <v/>
      </c>
      <c r="W410" s="8" t="str">
        <f aca="false">IF($A410="","",SUMIFS('Open supply'!$C:$C,'Open supply'!$A:$A,$AF410,'Open supply'!$B:$B,"&lt;"&amp;PlanDate))</f>
        <v/>
      </c>
      <c r="X410" s="8" t="str">
        <f aca="false">IF($A410="","",SUMIFS('Open demand'!$G:$G,'Open demand'!$A:$A,$AF410))</f>
        <v/>
      </c>
      <c r="Y410" s="8" t="str">
        <f aca="false">IF($L410&lt;&gt;"Planned","",N($H410)+$V410-$X410)</f>
        <v/>
      </c>
      <c r="Z410" s="19" t="str">
        <f aca="false">IF($L410&lt;&gt;"Planned","",IF($Y410&lt;=$S410,"Red",IF($Y410&lt;=$T410,"Yellow",IF($Y410&lt;=$U410,"Green","Above green"))))</f>
        <v/>
      </c>
      <c r="AA410" s="22" t="str">
        <f aca="false">IF(OR($L410&lt;&gt;"Planned",N($U410)&lt;=0),"",$Y410/$U410)</f>
        <v/>
      </c>
      <c r="AB410" s="8" t="str">
        <f aca="false">IF($L410&lt;&gt;"Planned","",IF($Y410&lt;=$T410,ROUNDUP(MAX($U410-$Y410,N($E410))/IF(N($F410)&gt;0,$F410,1)-0.000000001,0)*IF(N($F410)&gt;0,$F410,1),""))</f>
        <v/>
      </c>
      <c r="AC410" s="23" t="str">
        <f aca="false">IF(N($AB410)&gt;0,PlanDate+ROUNDUP($D410,0),"")</f>
        <v/>
      </c>
      <c r="AD410" s="19" t="str">
        <f aca="false">IF($L410&lt;&gt;"Planned","",IF(N($H410)&lt;=0,"Stockout",IF(N($H410)&lt;$S410*0.5,"Critical",IF(N($H410)&lt;=$S410,"Low",IF(N($H410)&gt;$U410,"Over top of green","OK")))))</f>
        <v/>
      </c>
      <c r="AE410" s="8" t="str">
        <f aca="false">IF($A410="","",$A410&amp;"")</f>
        <v/>
      </c>
      <c r="AF410" s="8" t="str">
        <f aca="false">IF($A410="","",SUBSTITUTE(SUBSTITUTE(SUBSTITUTE($A410&amp;"","~","~~"),"*","~*"),"?","~?"))</f>
        <v/>
      </c>
    </row>
    <row r="411" customFormat="false" ht="15" hidden="false" customHeight="false" outlineLevel="0" collapsed="false">
      <c r="A411" s="11"/>
      <c r="B411" s="11"/>
      <c r="C411" s="11"/>
      <c r="D411" s="16"/>
      <c r="E411" s="11"/>
      <c r="F411" s="11"/>
      <c r="G411" s="9"/>
      <c r="H411" s="11"/>
      <c r="I411" s="17"/>
      <c r="J411" s="18" t="str">
        <f aca="false">IF($A411="","",IF(COUNT(Usage!$C:$C)=0,"",MAX(0,SUMIFS(Usage!$C:$C,Usage!$A:$A,$AF411,Usage!$B:$B,"&gt;="&amp;(PlanDate-AduWindow),Usage!$B:$B,"&lt;"&amp;PlanDate))/AduWindow))</f>
        <v/>
      </c>
      <c r="K411" s="18" t="str">
        <f aca="false">IF($A411="","",IF(AND(ISNUMBER($I411),N($I411)&gt;=0),$I411,$J411))</f>
        <v/>
      </c>
      <c r="L411" s="19" t="str">
        <f aca="false">IF($A411="","",IF($K411="","Needs ADU",IF($K411&lt;=0,"No recent demand",IF(N($D411)&lt;=0,"Needs lead time","Planned"))))</f>
        <v/>
      </c>
      <c r="M411" s="8" t="str">
        <f aca="false">IF($A411="","",IF(ISNUMBER(MATCH($C411,Profiles!$A$2:$A$100,0)),$C411,DefaultProfile))</f>
        <v/>
      </c>
      <c r="N411" s="20" t="str">
        <f aca="false">IF($A411="","",INDEX(Profiles!$D$2:$D$100,MATCH($M411,Profiles!$A$2:$A$100,0)))</f>
        <v/>
      </c>
      <c r="O411" s="20" t="str">
        <f aca="false">IF($A411="","",INDEX(Profiles!$E$2:$E$100,MATCH($M411,Profiles!$A$2:$A$100,0)))</f>
        <v/>
      </c>
      <c r="P411" s="21" t="str">
        <f aca="false">IF($L411&lt;&gt;"Planned","",$K411*$D411*$N411*(1+$O411))</f>
        <v/>
      </c>
      <c r="Q411" s="21" t="str">
        <f aca="false">IF($L411&lt;&gt;"Planned","",$K411*$D411)</f>
        <v/>
      </c>
      <c r="R411" s="21" t="str">
        <f aca="false">IF($L411&lt;&gt;"Planned","",MAX(N($E411),$K411*$D411*$N411,$K411*N($G411)))</f>
        <v/>
      </c>
      <c r="S411" s="21" t="str">
        <f aca="false">IF($L411&lt;&gt;"Planned","",$P411)</f>
        <v/>
      </c>
      <c r="T411" s="21" t="str">
        <f aca="false">IF($L411&lt;&gt;"Planned","",$P411+$Q411)</f>
        <v/>
      </c>
      <c r="U411" s="21" t="str">
        <f aca="false">IF($L411&lt;&gt;"Planned","",$T411+$R411)</f>
        <v/>
      </c>
      <c r="V411" s="8" t="str">
        <f aca="false">IF($A411="","",SUMIFS('Open supply'!$C:$C,'Open supply'!$A:$A,$AF411))</f>
        <v/>
      </c>
      <c r="W411" s="8" t="str">
        <f aca="false">IF($A411="","",SUMIFS('Open supply'!$C:$C,'Open supply'!$A:$A,$AF411,'Open supply'!$B:$B,"&lt;"&amp;PlanDate))</f>
        <v/>
      </c>
      <c r="X411" s="8" t="str">
        <f aca="false">IF($A411="","",SUMIFS('Open demand'!$G:$G,'Open demand'!$A:$A,$AF411))</f>
        <v/>
      </c>
      <c r="Y411" s="8" t="str">
        <f aca="false">IF($L411&lt;&gt;"Planned","",N($H411)+$V411-$X411)</f>
        <v/>
      </c>
      <c r="Z411" s="19" t="str">
        <f aca="false">IF($L411&lt;&gt;"Planned","",IF($Y411&lt;=$S411,"Red",IF($Y411&lt;=$T411,"Yellow",IF($Y411&lt;=$U411,"Green","Above green"))))</f>
        <v/>
      </c>
      <c r="AA411" s="22" t="str">
        <f aca="false">IF(OR($L411&lt;&gt;"Planned",N($U411)&lt;=0),"",$Y411/$U411)</f>
        <v/>
      </c>
      <c r="AB411" s="8" t="str">
        <f aca="false">IF($L411&lt;&gt;"Planned","",IF($Y411&lt;=$T411,ROUNDUP(MAX($U411-$Y411,N($E411))/IF(N($F411)&gt;0,$F411,1)-0.000000001,0)*IF(N($F411)&gt;0,$F411,1),""))</f>
        <v/>
      </c>
      <c r="AC411" s="23" t="str">
        <f aca="false">IF(N($AB411)&gt;0,PlanDate+ROUNDUP($D411,0),"")</f>
        <v/>
      </c>
      <c r="AD411" s="19" t="str">
        <f aca="false">IF($L411&lt;&gt;"Planned","",IF(N($H411)&lt;=0,"Stockout",IF(N($H411)&lt;$S411*0.5,"Critical",IF(N($H411)&lt;=$S411,"Low",IF(N($H411)&gt;$U411,"Over top of green","OK")))))</f>
        <v/>
      </c>
      <c r="AE411" s="8" t="str">
        <f aca="false">IF($A411="","",$A411&amp;"")</f>
        <v/>
      </c>
      <c r="AF411" s="8" t="str">
        <f aca="false">IF($A411="","",SUBSTITUTE(SUBSTITUTE(SUBSTITUTE($A411&amp;"","~","~~"),"*","~*"),"?","~?"))</f>
        <v/>
      </c>
    </row>
    <row r="412" customFormat="false" ht="15" hidden="false" customHeight="false" outlineLevel="0" collapsed="false">
      <c r="A412" s="11"/>
      <c r="B412" s="11"/>
      <c r="C412" s="11"/>
      <c r="D412" s="16"/>
      <c r="E412" s="11"/>
      <c r="F412" s="11"/>
      <c r="G412" s="9"/>
      <c r="H412" s="11"/>
      <c r="I412" s="17"/>
      <c r="J412" s="18" t="str">
        <f aca="false">IF($A412="","",IF(COUNT(Usage!$C:$C)=0,"",MAX(0,SUMIFS(Usage!$C:$C,Usage!$A:$A,$AF412,Usage!$B:$B,"&gt;="&amp;(PlanDate-AduWindow),Usage!$B:$B,"&lt;"&amp;PlanDate))/AduWindow))</f>
        <v/>
      </c>
      <c r="K412" s="18" t="str">
        <f aca="false">IF($A412="","",IF(AND(ISNUMBER($I412),N($I412)&gt;=0),$I412,$J412))</f>
        <v/>
      </c>
      <c r="L412" s="19" t="str">
        <f aca="false">IF($A412="","",IF($K412="","Needs ADU",IF($K412&lt;=0,"No recent demand",IF(N($D412)&lt;=0,"Needs lead time","Planned"))))</f>
        <v/>
      </c>
      <c r="M412" s="8" t="str">
        <f aca="false">IF($A412="","",IF(ISNUMBER(MATCH($C412,Profiles!$A$2:$A$100,0)),$C412,DefaultProfile))</f>
        <v/>
      </c>
      <c r="N412" s="20" t="str">
        <f aca="false">IF($A412="","",INDEX(Profiles!$D$2:$D$100,MATCH($M412,Profiles!$A$2:$A$100,0)))</f>
        <v/>
      </c>
      <c r="O412" s="20" t="str">
        <f aca="false">IF($A412="","",INDEX(Profiles!$E$2:$E$100,MATCH($M412,Profiles!$A$2:$A$100,0)))</f>
        <v/>
      </c>
      <c r="P412" s="21" t="str">
        <f aca="false">IF($L412&lt;&gt;"Planned","",$K412*$D412*$N412*(1+$O412))</f>
        <v/>
      </c>
      <c r="Q412" s="21" t="str">
        <f aca="false">IF($L412&lt;&gt;"Planned","",$K412*$D412)</f>
        <v/>
      </c>
      <c r="R412" s="21" t="str">
        <f aca="false">IF($L412&lt;&gt;"Planned","",MAX(N($E412),$K412*$D412*$N412,$K412*N($G412)))</f>
        <v/>
      </c>
      <c r="S412" s="21" t="str">
        <f aca="false">IF($L412&lt;&gt;"Planned","",$P412)</f>
        <v/>
      </c>
      <c r="T412" s="21" t="str">
        <f aca="false">IF($L412&lt;&gt;"Planned","",$P412+$Q412)</f>
        <v/>
      </c>
      <c r="U412" s="21" t="str">
        <f aca="false">IF($L412&lt;&gt;"Planned","",$T412+$R412)</f>
        <v/>
      </c>
      <c r="V412" s="8" t="str">
        <f aca="false">IF($A412="","",SUMIFS('Open supply'!$C:$C,'Open supply'!$A:$A,$AF412))</f>
        <v/>
      </c>
      <c r="W412" s="8" t="str">
        <f aca="false">IF($A412="","",SUMIFS('Open supply'!$C:$C,'Open supply'!$A:$A,$AF412,'Open supply'!$B:$B,"&lt;"&amp;PlanDate))</f>
        <v/>
      </c>
      <c r="X412" s="8" t="str">
        <f aca="false">IF($A412="","",SUMIFS('Open demand'!$G:$G,'Open demand'!$A:$A,$AF412))</f>
        <v/>
      </c>
      <c r="Y412" s="8" t="str">
        <f aca="false">IF($L412&lt;&gt;"Planned","",N($H412)+$V412-$X412)</f>
        <v/>
      </c>
      <c r="Z412" s="19" t="str">
        <f aca="false">IF($L412&lt;&gt;"Planned","",IF($Y412&lt;=$S412,"Red",IF($Y412&lt;=$T412,"Yellow",IF($Y412&lt;=$U412,"Green","Above green"))))</f>
        <v/>
      </c>
      <c r="AA412" s="22" t="str">
        <f aca="false">IF(OR($L412&lt;&gt;"Planned",N($U412)&lt;=0),"",$Y412/$U412)</f>
        <v/>
      </c>
      <c r="AB412" s="8" t="str">
        <f aca="false">IF($L412&lt;&gt;"Planned","",IF($Y412&lt;=$T412,ROUNDUP(MAX($U412-$Y412,N($E412))/IF(N($F412)&gt;0,$F412,1)-0.000000001,0)*IF(N($F412)&gt;0,$F412,1),""))</f>
        <v/>
      </c>
      <c r="AC412" s="23" t="str">
        <f aca="false">IF(N($AB412)&gt;0,PlanDate+ROUNDUP($D412,0),"")</f>
        <v/>
      </c>
      <c r="AD412" s="19" t="str">
        <f aca="false">IF($L412&lt;&gt;"Planned","",IF(N($H412)&lt;=0,"Stockout",IF(N($H412)&lt;$S412*0.5,"Critical",IF(N($H412)&lt;=$S412,"Low",IF(N($H412)&gt;$U412,"Over top of green","OK")))))</f>
        <v/>
      </c>
      <c r="AE412" s="8" t="str">
        <f aca="false">IF($A412="","",$A412&amp;"")</f>
        <v/>
      </c>
      <c r="AF412" s="8" t="str">
        <f aca="false">IF($A412="","",SUBSTITUTE(SUBSTITUTE(SUBSTITUTE($A412&amp;"","~","~~"),"*","~*"),"?","~?"))</f>
        <v/>
      </c>
    </row>
    <row r="413" customFormat="false" ht="15" hidden="false" customHeight="false" outlineLevel="0" collapsed="false">
      <c r="A413" s="11"/>
      <c r="B413" s="11"/>
      <c r="C413" s="11"/>
      <c r="D413" s="16"/>
      <c r="E413" s="11"/>
      <c r="F413" s="11"/>
      <c r="G413" s="9"/>
      <c r="H413" s="11"/>
      <c r="I413" s="17"/>
      <c r="J413" s="18" t="str">
        <f aca="false">IF($A413="","",IF(COUNT(Usage!$C:$C)=0,"",MAX(0,SUMIFS(Usage!$C:$C,Usage!$A:$A,$AF413,Usage!$B:$B,"&gt;="&amp;(PlanDate-AduWindow),Usage!$B:$B,"&lt;"&amp;PlanDate))/AduWindow))</f>
        <v/>
      </c>
      <c r="K413" s="18" t="str">
        <f aca="false">IF($A413="","",IF(AND(ISNUMBER($I413),N($I413)&gt;=0),$I413,$J413))</f>
        <v/>
      </c>
      <c r="L413" s="19" t="str">
        <f aca="false">IF($A413="","",IF($K413="","Needs ADU",IF($K413&lt;=0,"No recent demand",IF(N($D413)&lt;=0,"Needs lead time","Planned"))))</f>
        <v/>
      </c>
      <c r="M413" s="8" t="str">
        <f aca="false">IF($A413="","",IF(ISNUMBER(MATCH($C413,Profiles!$A$2:$A$100,0)),$C413,DefaultProfile))</f>
        <v/>
      </c>
      <c r="N413" s="20" t="str">
        <f aca="false">IF($A413="","",INDEX(Profiles!$D$2:$D$100,MATCH($M413,Profiles!$A$2:$A$100,0)))</f>
        <v/>
      </c>
      <c r="O413" s="20" t="str">
        <f aca="false">IF($A413="","",INDEX(Profiles!$E$2:$E$100,MATCH($M413,Profiles!$A$2:$A$100,0)))</f>
        <v/>
      </c>
      <c r="P413" s="21" t="str">
        <f aca="false">IF($L413&lt;&gt;"Planned","",$K413*$D413*$N413*(1+$O413))</f>
        <v/>
      </c>
      <c r="Q413" s="21" t="str">
        <f aca="false">IF($L413&lt;&gt;"Planned","",$K413*$D413)</f>
        <v/>
      </c>
      <c r="R413" s="21" t="str">
        <f aca="false">IF($L413&lt;&gt;"Planned","",MAX(N($E413),$K413*$D413*$N413,$K413*N($G413)))</f>
        <v/>
      </c>
      <c r="S413" s="21" t="str">
        <f aca="false">IF($L413&lt;&gt;"Planned","",$P413)</f>
        <v/>
      </c>
      <c r="T413" s="21" t="str">
        <f aca="false">IF($L413&lt;&gt;"Planned","",$P413+$Q413)</f>
        <v/>
      </c>
      <c r="U413" s="21" t="str">
        <f aca="false">IF($L413&lt;&gt;"Planned","",$T413+$R413)</f>
        <v/>
      </c>
      <c r="V413" s="8" t="str">
        <f aca="false">IF($A413="","",SUMIFS('Open supply'!$C:$C,'Open supply'!$A:$A,$AF413))</f>
        <v/>
      </c>
      <c r="W413" s="8" t="str">
        <f aca="false">IF($A413="","",SUMIFS('Open supply'!$C:$C,'Open supply'!$A:$A,$AF413,'Open supply'!$B:$B,"&lt;"&amp;PlanDate))</f>
        <v/>
      </c>
      <c r="X413" s="8" t="str">
        <f aca="false">IF($A413="","",SUMIFS('Open demand'!$G:$G,'Open demand'!$A:$A,$AF413))</f>
        <v/>
      </c>
      <c r="Y413" s="8" t="str">
        <f aca="false">IF($L413&lt;&gt;"Planned","",N($H413)+$V413-$X413)</f>
        <v/>
      </c>
      <c r="Z413" s="19" t="str">
        <f aca="false">IF($L413&lt;&gt;"Planned","",IF($Y413&lt;=$S413,"Red",IF($Y413&lt;=$T413,"Yellow",IF($Y413&lt;=$U413,"Green","Above green"))))</f>
        <v/>
      </c>
      <c r="AA413" s="22" t="str">
        <f aca="false">IF(OR($L413&lt;&gt;"Planned",N($U413)&lt;=0),"",$Y413/$U413)</f>
        <v/>
      </c>
      <c r="AB413" s="8" t="str">
        <f aca="false">IF($L413&lt;&gt;"Planned","",IF($Y413&lt;=$T413,ROUNDUP(MAX($U413-$Y413,N($E413))/IF(N($F413)&gt;0,$F413,1)-0.000000001,0)*IF(N($F413)&gt;0,$F413,1),""))</f>
        <v/>
      </c>
      <c r="AC413" s="23" t="str">
        <f aca="false">IF(N($AB413)&gt;0,PlanDate+ROUNDUP($D413,0),"")</f>
        <v/>
      </c>
      <c r="AD413" s="19" t="str">
        <f aca="false">IF($L413&lt;&gt;"Planned","",IF(N($H413)&lt;=0,"Stockout",IF(N($H413)&lt;$S413*0.5,"Critical",IF(N($H413)&lt;=$S413,"Low",IF(N($H413)&gt;$U413,"Over top of green","OK")))))</f>
        <v/>
      </c>
      <c r="AE413" s="8" t="str">
        <f aca="false">IF($A413="","",$A413&amp;"")</f>
        <v/>
      </c>
      <c r="AF413" s="8" t="str">
        <f aca="false">IF($A413="","",SUBSTITUTE(SUBSTITUTE(SUBSTITUTE($A413&amp;"","~","~~"),"*","~*"),"?","~?"))</f>
        <v/>
      </c>
    </row>
    <row r="414" customFormat="false" ht="15" hidden="false" customHeight="false" outlineLevel="0" collapsed="false">
      <c r="A414" s="11"/>
      <c r="B414" s="11"/>
      <c r="C414" s="11"/>
      <c r="D414" s="16"/>
      <c r="E414" s="11"/>
      <c r="F414" s="11"/>
      <c r="G414" s="9"/>
      <c r="H414" s="11"/>
      <c r="I414" s="17"/>
      <c r="J414" s="18" t="str">
        <f aca="false">IF($A414="","",IF(COUNT(Usage!$C:$C)=0,"",MAX(0,SUMIFS(Usage!$C:$C,Usage!$A:$A,$AF414,Usage!$B:$B,"&gt;="&amp;(PlanDate-AduWindow),Usage!$B:$B,"&lt;"&amp;PlanDate))/AduWindow))</f>
        <v/>
      </c>
      <c r="K414" s="18" t="str">
        <f aca="false">IF($A414="","",IF(AND(ISNUMBER($I414),N($I414)&gt;=0),$I414,$J414))</f>
        <v/>
      </c>
      <c r="L414" s="19" t="str">
        <f aca="false">IF($A414="","",IF($K414="","Needs ADU",IF($K414&lt;=0,"No recent demand",IF(N($D414)&lt;=0,"Needs lead time","Planned"))))</f>
        <v/>
      </c>
      <c r="M414" s="8" t="str">
        <f aca="false">IF($A414="","",IF(ISNUMBER(MATCH($C414,Profiles!$A$2:$A$100,0)),$C414,DefaultProfile))</f>
        <v/>
      </c>
      <c r="N414" s="20" t="str">
        <f aca="false">IF($A414="","",INDEX(Profiles!$D$2:$D$100,MATCH($M414,Profiles!$A$2:$A$100,0)))</f>
        <v/>
      </c>
      <c r="O414" s="20" t="str">
        <f aca="false">IF($A414="","",INDEX(Profiles!$E$2:$E$100,MATCH($M414,Profiles!$A$2:$A$100,0)))</f>
        <v/>
      </c>
      <c r="P414" s="21" t="str">
        <f aca="false">IF($L414&lt;&gt;"Planned","",$K414*$D414*$N414*(1+$O414))</f>
        <v/>
      </c>
      <c r="Q414" s="21" t="str">
        <f aca="false">IF($L414&lt;&gt;"Planned","",$K414*$D414)</f>
        <v/>
      </c>
      <c r="R414" s="21" t="str">
        <f aca="false">IF($L414&lt;&gt;"Planned","",MAX(N($E414),$K414*$D414*$N414,$K414*N($G414)))</f>
        <v/>
      </c>
      <c r="S414" s="21" t="str">
        <f aca="false">IF($L414&lt;&gt;"Planned","",$P414)</f>
        <v/>
      </c>
      <c r="T414" s="21" t="str">
        <f aca="false">IF($L414&lt;&gt;"Planned","",$P414+$Q414)</f>
        <v/>
      </c>
      <c r="U414" s="21" t="str">
        <f aca="false">IF($L414&lt;&gt;"Planned","",$T414+$R414)</f>
        <v/>
      </c>
      <c r="V414" s="8" t="str">
        <f aca="false">IF($A414="","",SUMIFS('Open supply'!$C:$C,'Open supply'!$A:$A,$AF414))</f>
        <v/>
      </c>
      <c r="W414" s="8" t="str">
        <f aca="false">IF($A414="","",SUMIFS('Open supply'!$C:$C,'Open supply'!$A:$A,$AF414,'Open supply'!$B:$B,"&lt;"&amp;PlanDate))</f>
        <v/>
      </c>
      <c r="X414" s="8" t="str">
        <f aca="false">IF($A414="","",SUMIFS('Open demand'!$G:$G,'Open demand'!$A:$A,$AF414))</f>
        <v/>
      </c>
      <c r="Y414" s="8" t="str">
        <f aca="false">IF($L414&lt;&gt;"Planned","",N($H414)+$V414-$X414)</f>
        <v/>
      </c>
      <c r="Z414" s="19" t="str">
        <f aca="false">IF($L414&lt;&gt;"Planned","",IF($Y414&lt;=$S414,"Red",IF($Y414&lt;=$T414,"Yellow",IF($Y414&lt;=$U414,"Green","Above green"))))</f>
        <v/>
      </c>
      <c r="AA414" s="22" t="str">
        <f aca="false">IF(OR($L414&lt;&gt;"Planned",N($U414)&lt;=0),"",$Y414/$U414)</f>
        <v/>
      </c>
      <c r="AB414" s="8" t="str">
        <f aca="false">IF($L414&lt;&gt;"Planned","",IF($Y414&lt;=$T414,ROUNDUP(MAX($U414-$Y414,N($E414))/IF(N($F414)&gt;0,$F414,1)-0.000000001,0)*IF(N($F414)&gt;0,$F414,1),""))</f>
        <v/>
      </c>
      <c r="AC414" s="23" t="str">
        <f aca="false">IF(N($AB414)&gt;0,PlanDate+ROUNDUP($D414,0),"")</f>
        <v/>
      </c>
      <c r="AD414" s="19" t="str">
        <f aca="false">IF($L414&lt;&gt;"Planned","",IF(N($H414)&lt;=0,"Stockout",IF(N($H414)&lt;$S414*0.5,"Critical",IF(N($H414)&lt;=$S414,"Low",IF(N($H414)&gt;$U414,"Over top of green","OK")))))</f>
        <v/>
      </c>
      <c r="AE414" s="8" t="str">
        <f aca="false">IF($A414="","",$A414&amp;"")</f>
        <v/>
      </c>
      <c r="AF414" s="8" t="str">
        <f aca="false">IF($A414="","",SUBSTITUTE(SUBSTITUTE(SUBSTITUTE($A414&amp;"","~","~~"),"*","~*"),"?","~?"))</f>
        <v/>
      </c>
    </row>
    <row r="415" customFormat="false" ht="15" hidden="false" customHeight="false" outlineLevel="0" collapsed="false">
      <c r="A415" s="11"/>
      <c r="B415" s="11"/>
      <c r="C415" s="11"/>
      <c r="D415" s="16"/>
      <c r="E415" s="11"/>
      <c r="F415" s="11"/>
      <c r="G415" s="9"/>
      <c r="H415" s="11"/>
      <c r="I415" s="17"/>
      <c r="J415" s="18" t="str">
        <f aca="false">IF($A415="","",IF(COUNT(Usage!$C:$C)=0,"",MAX(0,SUMIFS(Usage!$C:$C,Usage!$A:$A,$AF415,Usage!$B:$B,"&gt;="&amp;(PlanDate-AduWindow),Usage!$B:$B,"&lt;"&amp;PlanDate))/AduWindow))</f>
        <v/>
      </c>
      <c r="K415" s="18" t="str">
        <f aca="false">IF($A415="","",IF(AND(ISNUMBER($I415),N($I415)&gt;=0),$I415,$J415))</f>
        <v/>
      </c>
      <c r="L415" s="19" t="str">
        <f aca="false">IF($A415="","",IF($K415="","Needs ADU",IF($K415&lt;=0,"No recent demand",IF(N($D415)&lt;=0,"Needs lead time","Planned"))))</f>
        <v/>
      </c>
      <c r="M415" s="8" t="str">
        <f aca="false">IF($A415="","",IF(ISNUMBER(MATCH($C415,Profiles!$A$2:$A$100,0)),$C415,DefaultProfile))</f>
        <v/>
      </c>
      <c r="N415" s="20" t="str">
        <f aca="false">IF($A415="","",INDEX(Profiles!$D$2:$D$100,MATCH($M415,Profiles!$A$2:$A$100,0)))</f>
        <v/>
      </c>
      <c r="O415" s="20" t="str">
        <f aca="false">IF($A415="","",INDEX(Profiles!$E$2:$E$100,MATCH($M415,Profiles!$A$2:$A$100,0)))</f>
        <v/>
      </c>
      <c r="P415" s="21" t="str">
        <f aca="false">IF($L415&lt;&gt;"Planned","",$K415*$D415*$N415*(1+$O415))</f>
        <v/>
      </c>
      <c r="Q415" s="21" t="str">
        <f aca="false">IF($L415&lt;&gt;"Planned","",$K415*$D415)</f>
        <v/>
      </c>
      <c r="R415" s="21" t="str">
        <f aca="false">IF($L415&lt;&gt;"Planned","",MAX(N($E415),$K415*$D415*$N415,$K415*N($G415)))</f>
        <v/>
      </c>
      <c r="S415" s="21" t="str">
        <f aca="false">IF($L415&lt;&gt;"Planned","",$P415)</f>
        <v/>
      </c>
      <c r="T415" s="21" t="str">
        <f aca="false">IF($L415&lt;&gt;"Planned","",$P415+$Q415)</f>
        <v/>
      </c>
      <c r="U415" s="21" t="str">
        <f aca="false">IF($L415&lt;&gt;"Planned","",$T415+$R415)</f>
        <v/>
      </c>
      <c r="V415" s="8" t="str">
        <f aca="false">IF($A415="","",SUMIFS('Open supply'!$C:$C,'Open supply'!$A:$A,$AF415))</f>
        <v/>
      </c>
      <c r="W415" s="8" t="str">
        <f aca="false">IF($A415="","",SUMIFS('Open supply'!$C:$C,'Open supply'!$A:$A,$AF415,'Open supply'!$B:$B,"&lt;"&amp;PlanDate))</f>
        <v/>
      </c>
      <c r="X415" s="8" t="str">
        <f aca="false">IF($A415="","",SUMIFS('Open demand'!$G:$G,'Open demand'!$A:$A,$AF415))</f>
        <v/>
      </c>
      <c r="Y415" s="8" t="str">
        <f aca="false">IF($L415&lt;&gt;"Planned","",N($H415)+$V415-$X415)</f>
        <v/>
      </c>
      <c r="Z415" s="19" t="str">
        <f aca="false">IF($L415&lt;&gt;"Planned","",IF($Y415&lt;=$S415,"Red",IF($Y415&lt;=$T415,"Yellow",IF($Y415&lt;=$U415,"Green","Above green"))))</f>
        <v/>
      </c>
      <c r="AA415" s="22" t="str">
        <f aca="false">IF(OR($L415&lt;&gt;"Planned",N($U415)&lt;=0),"",$Y415/$U415)</f>
        <v/>
      </c>
      <c r="AB415" s="8" t="str">
        <f aca="false">IF($L415&lt;&gt;"Planned","",IF($Y415&lt;=$T415,ROUNDUP(MAX($U415-$Y415,N($E415))/IF(N($F415)&gt;0,$F415,1)-0.000000001,0)*IF(N($F415)&gt;0,$F415,1),""))</f>
        <v/>
      </c>
      <c r="AC415" s="23" t="str">
        <f aca="false">IF(N($AB415)&gt;0,PlanDate+ROUNDUP($D415,0),"")</f>
        <v/>
      </c>
      <c r="AD415" s="19" t="str">
        <f aca="false">IF($L415&lt;&gt;"Planned","",IF(N($H415)&lt;=0,"Stockout",IF(N($H415)&lt;$S415*0.5,"Critical",IF(N($H415)&lt;=$S415,"Low",IF(N($H415)&gt;$U415,"Over top of green","OK")))))</f>
        <v/>
      </c>
      <c r="AE415" s="8" t="str">
        <f aca="false">IF($A415="","",$A415&amp;"")</f>
        <v/>
      </c>
      <c r="AF415" s="8" t="str">
        <f aca="false">IF($A415="","",SUBSTITUTE(SUBSTITUTE(SUBSTITUTE($A415&amp;"","~","~~"),"*","~*"),"?","~?"))</f>
        <v/>
      </c>
    </row>
    <row r="416" customFormat="false" ht="15" hidden="false" customHeight="false" outlineLevel="0" collapsed="false">
      <c r="A416" s="11"/>
      <c r="B416" s="11"/>
      <c r="C416" s="11"/>
      <c r="D416" s="16"/>
      <c r="E416" s="11"/>
      <c r="F416" s="11"/>
      <c r="G416" s="9"/>
      <c r="H416" s="11"/>
      <c r="I416" s="17"/>
      <c r="J416" s="18" t="str">
        <f aca="false">IF($A416="","",IF(COUNT(Usage!$C:$C)=0,"",MAX(0,SUMIFS(Usage!$C:$C,Usage!$A:$A,$AF416,Usage!$B:$B,"&gt;="&amp;(PlanDate-AduWindow),Usage!$B:$B,"&lt;"&amp;PlanDate))/AduWindow))</f>
        <v/>
      </c>
      <c r="K416" s="18" t="str">
        <f aca="false">IF($A416="","",IF(AND(ISNUMBER($I416),N($I416)&gt;=0),$I416,$J416))</f>
        <v/>
      </c>
      <c r="L416" s="19" t="str">
        <f aca="false">IF($A416="","",IF($K416="","Needs ADU",IF($K416&lt;=0,"No recent demand",IF(N($D416)&lt;=0,"Needs lead time","Planned"))))</f>
        <v/>
      </c>
      <c r="M416" s="8" t="str">
        <f aca="false">IF($A416="","",IF(ISNUMBER(MATCH($C416,Profiles!$A$2:$A$100,0)),$C416,DefaultProfile))</f>
        <v/>
      </c>
      <c r="N416" s="20" t="str">
        <f aca="false">IF($A416="","",INDEX(Profiles!$D$2:$D$100,MATCH($M416,Profiles!$A$2:$A$100,0)))</f>
        <v/>
      </c>
      <c r="O416" s="20" t="str">
        <f aca="false">IF($A416="","",INDEX(Profiles!$E$2:$E$100,MATCH($M416,Profiles!$A$2:$A$100,0)))</f>
        <v/>
      </c>
      <c r="P416" s="21" t="str">
        <f aca="false">IF($L416&lt;&gt;"Planned","",$K416*$D416*$N416*(1+$O416))</f>
        <v/>
      </c>
      <c r="Q416" s="21" t="str">
        <f aca="false">IF($L416&lt;&gt;"Planned","",$K416*$D416)</f>
        <v/>
      </c>
      <c r="R416" s="21" t="str">
        <f aca="false">IF($L416&lt;&gt;"Planned","",MAX(N($E416),$K416*$D416*$N416,$K416*N($G416)))</f>
        <v/>
      </c>
      <c r="S416" s="21" t="str">
        <f aca="false">IF($L416&lt;&gt;"Planned","",$P416)</f>
        <v/>
      </c>
      <c r="T416" s="21" t="str">
        <f aca="false">IF($L416&lt;&gt;"Planned","",$P416+$Q416)</f>
        <v/>
      </c>
      <c r="U416" s="21" t="str">
        <f aca="false">IF($L416&lt;&gt;"Planned","",$T416+$R416)</f>
        <v/>
      </c>
      <c r="V416" s="8" t="str">
        <f aca="false">IF($A416="","",SUMIFS('Open supply'!$C:$C,'Open supply'!$A:$A,$AF416))</f>
        <v/>
      </c>
      <c r="W416" s="8" t="str">
        <f aca="false">IF($A416="","",SUMIFS('Open supply'!$C:$C,'Open supply'!$A:$A,$AF416,'Open supply'!$B:$B,"&lt;"&amp;PlanDate))</f>
        <v/>
      </c>
      <c r="X416" s="8" t="str">
        <f aca="false">IF($A416="","",SUMIFS('Open demand'!$G:$G,'Open demand'!$A:$A,$AF416))</f>
        <v/>
      </c>
      <c r="Y416" s="8" t="str">
        <f aca="false">IF($L416&lt;&gt;"Planned","",N($H416)+$V416-$X416)</f>
        <v/>
      </c>
      <c r="Z416" s="19" t="str">
        <f aca="false">IF($L416&lt;&gt;"Planned","",IF($Y416&lt;=$S416,"Red",IF($Y416&lt;=$T416,"Yellow",IF($Y416&lt;=$U416,"Green","Above green"))))</f>
        <v/>
      </c>
      <c r="AA416" s="22" t="str">
        <f aca="false">IF(OR($L416&lt;&gt;"Planned",N($U416)&lt;=0),"",$Y416/$U416)</f>
        <v/>
      </c>
      <c r="AB416" s="8" t="str">
        <f aca="false">IF($L416&lt;&gt;"Planned","",IF($Y416&lt;=$T416,ROUNDUP(MAX($U416-$Y416,N($E416))/IF(N($F416)&gt;0,$F416,1)-0.000000001,0)*IF(N($F416)&gt;0,$F416,1),""))</f>
        <v/>
      </c>
      <c r="AC416" s="23" t="str">
        <f aca="false">IF(N($AB416)&gt;0,PlanDate+ROUNDUP($D416,0),"")</f>
        <v/>
      </c>
      <c r="AD416" s="19" t="str">
        <f aca="false">IF($L416&lt;&gt;"Planned","",IF(N($H416)&lt;=0,"Stockout",IF(N($H416)&lt;$S416*0.5,"Critical",IF(N($H416)&lt;=$S416,"Low",IF(N($H416)&gt;$U416,"Over top of green","OK")))))</f>
        <v/>
      </c>
      <c r="AE416" s="8" t="str">
        <f aca="false">IF($A416="","",$A416&amp;"")</f>
        <v/>
      </c>
      <c r="AF416" s="8" t="str">
        <f aca="false">IF($A416="","",SUBSTITUTE(SUBSTITUTE(SUBSTITUTE($A416&amp;"","~","~~"),"*","~*"),"?","~?"))</f>
        <v/>
      </c>
    </row>
    <row r="417" customFormat="false" ht="15" hidden="false" customHeight="false" outlineLevel="0" collapsed="false">
      <c r="A417" s="11"/>
      <c r="B417" s="11"/>
      <c r="C417" s="11"/>
      <c r="D417" s="16"/>
      <c r="E417" s="11"/>
      <c r="F417" s="11"/>
      <c r="G417" s="9"/>
      <c r="H417" s="11"/>
      <c r="I417" s="17"/>
      <c r="J417" s="18" t="str">
        <f aca="false">IF($A417="","",IF(COUNT(Usage!$C:$C)=0,"",MAX(0,SUMIFS(Usage!$C:$C,Usage!$A:$A,$AF417,Usage!$B:$B,"&gt;="&amp;(PlanDate-AduWindow),Usage!$B:$B,"&lt;"&amp;PlanDate))/AduWindow))</f>
        <v/>
      </c>
      <c r="K417" s="18" t="str">
        <f aca="false">IF($A417="","",IF(AND(ISNUMBER($I417),N($I417)&gt;=0),$I417,$J417))</f>
        <v/>
      </c>
      <c r="L417" s="19" t="str">
        <f aca="false">IF($A417="","",IF($K417="","Needs ADU",IF($K417&lt;=0,"No recent demand",IF(N($D417)&lt;=0,"Needs lead time","Planned"))))</f>
        <v/>
      </c>
      <c r="M417" s="8" t="str">
        <f aca="false">IF($A417="","",IF(ISNUMBER(MATCH($C417,Profiles!$A$2:$A$100,0)),$C417,DefaultProfile))</f>
        <v/>
      </c>
      <c r="N417" s="20" t="str">
        <f aca="false">IF($A417="","",INDEX(Profiles!$D$2:$D$100,MATCH($M417,Profiles!$A$2:$A$100,0)))</f>
        <v/>
      </c>
      <c r="O417" s="20" t="str">
        <f aca="false">IF($A417="","",INDEX(Profiles!$E$2:$E$100,MATCH($M417,Profiles!$A$2:$A$100,0)))</f>
        <v/>
      </c>
      <c r="P417" s="21" t="str">
        <f aca="false">IF($L417&lt;&gt;"Planned","",$K417*$D417*$N417*(1+$O417))</f>
        <v/>
      </c>
      <c r="Q417" s="21" t="str">
        <f aca="false">IF($L417&lt;&gt;"Planned","",$K417*$D417)</f>
        <v/>
      </c>
      <c r="R417" s="21" t="str">
        <f aca="false">IF($L417&lt;&gt;"Planned","",MAX(N($E417),$K417*$D417*$N417,$K417*N($G417)))</f>
        <v/>
      </c>
      <c r="S417" s="21" t="str">
        <f aca="false">IF($L417&lt;&gt;"Planned","",$P417)</f>
        <v/>
      </c>
      <c r="T417" s="21" t="str">
        <f aca="false">IF($L417&lt;&gt;"Planned","",$P417+$Q417)</f>
        <v/>
      </c>
      <c r="U417" s="21" t="str">
        <f aca="false">IF($L417&lt;&gt;"Planned","",$T417+$R417)</f>
        <v/>
      </c>
      <c r="V417" s="8" t="str">
        <f aca="false">IF($A417="","",SUMIFS('Open supply'!$C:$C,'Open supply'!$A:$A,$AF417))</f>
        <v/>
      </c>
      <c r="W417" s="8" t="str">
        <f aca="false">IF($A417="","",SUMIFS('Open supply'!$C:$C,'Open supply'!$A:$A,$AF417,'Open supply'!$B:$B,"&lt;"&amp;PlanDate))</f>
        <v/>
      </c>
      <c r="X417" s="8" t="str">
        <f aca="false">IF($A417="","",SUMIFS('Open demand'!$G:$G,'Open demand'!$A:$A,$AF417))</f>
        <v/>
      </c>
      <c r="Y417" s="8" t="str">
        <f aca="false">IF($L417&lt;&gt;"Planned","",N($H417)+$V417-$X417)</f>
        <v/>
      </c>
      <c r="Z417" s="19" t="str">
        <f aca="false">IF($L417&lt;&gt;"Planned","",IF($Y417&lt;=$S417,"Red",IF($Y417&lt;=$T417,"Yellow",IF($Y417&lt;=$U417,"Green","Above green"))))</f>
        <v/>
      </c>
      <c r="AA417" s="22" t="str">
        <f aca="false">IF(OR($L417&lt;&gt;"Planned",N($U417)&lt;=0),"",$Y417/$U417)</f>
        <v/>
      </c>
      <c r="AB417" s="8" t="str">
        <f aca="false">IF($L417&lt;&gt;"Planned","",IF($Y417&lt;=$T417,ROUNDUP(MAX($U417-$Y417,N($E417))/IF(N($F417)&gt;0,$F417,1)-0.000000001,0)*IF(N($F417)&gt;0,$F417,1),""))</f>
        <v/>
      </c>
      <c r="AC417" s="23" t="str">
        <f aca="false">IF(N($AB417)&gt;0,PlanDate+ROUNDUP($D417,0),"")</f>
        <v/>
      </c>
      <c r="AD417" s="19" t="str">
        <f aca="false">IF($L417&lt;&gt;"Planned","",IF(N($H417)&lt;=0,"Stockout",IF(N($H417)&lt;$S417*0.5,"Critical",IF(N($H417)&lt;=$S417,"Low",IF(N($H417)&gt;$U417,"Over top of green","OK")))))</f>
        <v/>
      </c>
      <c r="AE417" s="8" t="str">
        <f aca="false">IF($A417="","",$A417&amp;"")</f>
        <v/>
      </c>
      <c r="AF417" s="8" t="str">
        <f aca="false">IF($A417="","",SUBSTITUTE(SUBSTITUTE(SUBSTITUTE($A417&amp;"","~","~~"),"*","~*"),"?","~?"))</f>
        <v/>
      </c>
    </row>
    <row r="418" customFormat="false" ht="15" hidden="false" customHeight="false" outlineLevel="0" collapsed="false">
      <c r="A418" s="11"/>
      <c r="B418" s="11"/>
      <c r="C418" s="11"/>
      <c r="D418" s="16"/>
      <c r="E418" s="11"/>
      <c r="F418" s="11"/>
      <c r="G418" s="9"/>
      <c r="H418" s="11"/>
      <c r="I418" s="17"/>
      <c r="J418" s="18" t="str">
        <f aca="false">IF($A418="","",IF(COUNT(Usage!$C:$C)=0,"",MAX(0,SUMIFS(Usage!$C:$C,Usage!$A:$A,$AF418,Usage!$B:$B,"&gt;="&amp;(PlanDate-AduWindow),Usage!$B:$B,"&lt;"&amp;PlanDate))/AduWindow))</f>
        <v/>
      </c>
      <c r="K418" s="18" t="str">
        <f aca="false">IF($A418="","",IF(AND(ISNUMBER($I418),N($I418)&gt;=0),$I418,$J418))</f>
        <v/>
      </c>
      <c r="L418" s="19" t="str">
        <f aca="false">IF($A418="","",IF($K418="","Needs ADU",IF($K418&lt;=0,"No recent demand",IF(N($D418)&lt;=0,"Needs lead time","Planned"))))</f>
        <v/>
      </c>
      <c r="M418" s="8" t="str">
        <f aca="false">IF($A418="","",IF(ISNUMBER(MATCH($C418,Profiles!$A$2:$A$100,0)),$C418,DefaultProfile))</f>
        <v/>
      </c>
      <c r="N418" s="20" t="str">
        <f aca="false">IF($A418="","",INDEX(Profiles!$D$2:$D$100,MATCH($M418,Profiles!$A$2:$A$100,0)))</f>
        <v/>
      </c>
      <c r="O418" s="20" t="str">
        <f aca="false">IF($A418="","",INDEX(Profiles!$E$2:$E$100,MATCH($M418,Profiles!$A$2:$A$100,0)))</f>
        <v/>
      </c>
      <c r="P418" s="21" t="str">
        <f aca="false">IF($L418&lt;&gt;"Planned","",$K418*$D418*$N418*(1+$O418))</f>
        <v/>
      </c>
      <c r="Q418" s="21" t="str">
        <f aca="false">IF($L418&lt;&gt;"Planned","",$K418*$D418)</f>
        <v/>
      </c>
      <c r="R418" s="21" t="str">
        <f aca="false">IF($L418&lt;&gt;"Planned","",MAX(N($E418),$K418*$D418*$N418,$K418*N($G418)))</f>
        <v/>
      </c>
      <c r="S418" s="21" t="str">
        <f aca="false">IF($L418&lt;&gt;"Planned","",$P418)</f>
        <v/>
      </c>
      <c r="T418" s="21" t="str">
        <f aca="false">IF($L418&lt;&gt;"Planned","",$P418+$Q418)</f>
        <v/>
      </c>
      <c r="U418" s="21" t="str">
        <f aca="false">IF($L418&lt;&gt;"Planned","",$T418+$R418)</f>
        <v/>
      </c>
      <c r="V418" s="8" t="str">
        <f aca="false">IF($A418="","",SUMIFS('Open supply'!$C:$C,'Open supply'!$A:$A,$AF418))</f>
        <v/>
      </c>
      <c r="W418" s="8" t="str">
        <f aca="false">IF($A418="","",SUMIFS('Open supply'!$C:$C,'Open supply'!$A:$A,$AF418,'Open supply'!$B:$B,"&lt;"&amp;PlanDate))</f>
        <v/>
      </c>
      <c r="X418" s="8" t="str">
        <f aca="false">IF($A418="","",SUMIFS('Open demand'!$G:$G,'Open demand'!$A:$A,$AF418))</f>
        <v/>
      </c>
      <c r="Y418" s="8" t="str">
        <f aca="false">IF($L418&lt;&gt;"Planned","",N($H418)+$V418-$X418)</f>
        <v/>
      </c>
      <c r="Z418" s="19" t="str">
        <f aca="false">IF($L418&lt;&gt;"Planned","",IF($Y418&lt;=$S418,"Red",IF($Y418&lt;=$T418,"Yellow",IF($Y418&lt;=$U418,"Green","Above green"))))</f>
        <v/>
      </c>
      <c r="AA418" s="22" t="str">
        <f aca="false">IF(OR($L418&lt;&gt;"Planned",N($U418)&lt;=0),"",$Y418/$U418)</f>
        <v/>
      </c>
      <c r="AB418" s="8" t="str">
        <f aca="false">IF($L418&lt;&gt;"Planned","",IF($Y418&lt;=$T418,ROUNDUP(MAX($U418-$Y418,N($E418))/IF(N($F418)&gt;0,$F418,1)-0.000000001,0)*IF(N($F418)&gt;0,$F418,1),""))</f>
        <v/>
      </c>
      <c r="AC418" s="23" t="str">
        <f aca="false">IF(N($AB418)&gt;0,PlanDate+ROUNDUP($D418,0),"")</f>
        <v/>
      </c>
      <c r="AD418" s="19" t="str">
        <f aca="false">IF($L418&lt;&gt;"Planned","",IF(N($H418)&lt;=0,"Stockout",IF(N($H418)&lt;$S418*0.5,"Critical",IF(N($H418)&lt;=$S418,"Low",IF(N($H418)&gt;$U418,"Over top of green","OK")))))</f>
        <v/>
      </c>
      <c r="AE418" s="8" t="str">
        <f aca="false">IF($A418="","",$A418&amp;"")</f>
        <v/>
      </c>
      <c r="AF418" s="8" t="str">
        <f aca="false">IF($A418="","",SUBSTITUTE(SUBSTITUTE(SUBSTITUTE($A418&amp;"","~","~~"),"*","~*"),"?","~?"))</f>
        <v/>
      </c>
    </row>
    <row r="419" customFormat="false" ht="15" hidden="false" customHeight="false" outlineLevel="0" collapsed="false">
      <c r="A419" s="11"/>
      <c r="B419" s="11"/>
      <c r="C419" s="11"/>
      <c r="D419" s="16"/>
      <c r="E419" s="11"/>
      <c r="F419" s="11"/>
      <c r="G419" s="9"/>
      <c r="H419" s="11"/>
      <c r="I419" s="17"/>
      <c r="J419" s="18" t="str">
        <f aca="false">IF($A419="","",IF(COUNT(Usage!$C:$C)=0,"",MAX(0,SUMIFS(Usage!$C:$C,Usage!$A:$A,$AF419,Usage!$B:$B,"&gt;="&amp;(PlanDate-AduWindow),Usage!$B:$B,"&lt;"&amp;PlanDate))/AduWindow))</f>
        <v/>
      </c>
      <c r="K419" s="18" t="str">
        <f aca="false">IF($A419="","",IF(AND(ISNUMBER($I419),N($I419)&gt;=0),$I419,$J419))</f>
        <v/>
      </c>
      <c r="L419" s="19" t="str">
        <f aca="false">IF($A419="","",IF($K419="","Needs ADU",IF($K419&lt;=0,"No recent demand",IF(N($D419)&lt;=0,"Needs lead time","Planned"))))</f>
        <v/>
      </c>
      <c r="M419" s="8" t="str">
        <f aca="false">IF($A419="","",IF(ISNUMBER(MATCH($C419,Profiles!$A$2:$A$100,0)),$C419,DefaultProfile))</f>
        <v/>
      </c>
      <c r="N419" s="20" t="str">
        <f aca="false">IF($A419="","",INDEX(Profiles!$D$2:$D$100,MATCH($M419,Profiles!$A$2:$A$100,0)))</f>
        <v/>
      </c>
      <c r="O419" s="20" t="str">
        <f aca="false">IF($A419="","",INDEX(Profiles!$E$2:$E$100,MATCH($M419,Profiles!$A$2:$A$100,0)))</f>
        <v/>
      </c>
      <c r="P419" s="21" t="str">
        <f aca="false">IF($L419&lt;&gt;"Planned","",$K419*$D419*$N419*(1+$O419))</f>
        <v/>
      </c>
      <c r="Q419" s="21" t="str">
        <f aca="false">IF($L419&lt;&gt;"Planned","",$K419*$D419)</f>
        <v/>
      </c>
      <c r="R419" s="21" t="str">
        <f aca="false">IF($L419&lt;&gt;"Planned","",MAX(N($E419),$K419*$D419*$N419,$K419*N($G419)))</f>
        <v/>
      </c>
      <c r="S419" s="21" t="str">
        <f aca="false">IF($L419&lt;&gt;"Planned","",$P419)</f>
        <v/>
      </c>
      <c r="T419" s="21" t="str">
        <f aca="false">IF($L419&lt;&gt;"Planned","",$P419+$Q419)</f>
        <v/>
      </c>
      <c r="U419" s="21" t="str">
        <f aca="false">IF($L419&lt;&gt;"Planned","",$T419+$R419)</f>
        <v/>
      </c>
      <c r="V419" s="8" t="str">
        <f aca="false">IF($A419="","",SUMIFS('Open supply'!$C:$C,'Open supply'!$A:$A,$AF419))</f>
        <v/>
      </c>
      <c r="W419" s="8" t="str">
        <f aca="false">IF($A419="","",SUMIFS('Open supply'!$C:$C,'Open supply'!$A:$A,$AF419,'Open supply'!$B:$B,"&lt;"&amp;PlanDate))</f>
        <v/>
      </c>
      <c r="X419" s="8" t="str">
        <f aca="false">IF($A419="","",SUMIFS('Open demand'!$G:$G,'Open demand'!$A:$A,$AF419))</f>
        <v/>
      </c>
      <c r="Y419" s="8" t="str">
        <f aca="false">IF($L419&lt;&gt;"Planned","",N($H419)+$V419-$X419)</f>
        <v/>
      </c>
      <c r="Z419" s="19" t="str">
        <f aca="false">IF($L419&lt;&gt;"Planned","",IF($Y419&lt;=$S419,"Red",IF($Y419&lt;=$T419,"Yellow",IF($Y419&lt;=$U419,"Green","Above green"))))</f>
        <v/>
      </c>
      <c r="AA419" s="22" t="str">
        <f aca="false">IF(OR($L419&lt;&gt;"Planned",N($U419)&lt;=0),"",$Y419/$U419)</f>
        <v/>
      </c>
      <c r="AB419" s="8" t="str">
        <f aca="false">IF($L419&lt;&gt;"Planned","",IF($Y419&lt;=$T419,ROUNDUP(MAX($U419-$Y419,N($E419))/IF(N($F419)&gt;0,$F419,1)-0.000000001,0)*IF(N($F419)&gt;0,$F419,1),""))</f>
        <v/>
      </c>
      <c r="AC419" s="23" t="str">
        <f aca="false">IF(N($AB419)&gt;0,PlanDate+ROUNDUP($D419,0),"")</f>
        <v/>
      </c>
      <c r="AD419" s="19" t="str">
        <f aca="false">IF($L419&lt;&gt;"Planned","",IF(N($H419)&lt;=0,"Stockout",IF(N($H419)&lt;$S419*0.5,"Critical",IF(N($H419)&lt;=$S419,"Low",IF(N($H419)&gt;$U419,"Over top of green","OK")))))</f>
        <v/>
      </c>
      <c r="AE419" s="8" t="str">
        <f aca="false">IF($A419="","",$A419&amp;"")</f>
        <v/>
      </c>
      <c r="AF419" s="8" t="str">
        <f aca="false">IF($A419="","",SUBSTITUTE(SUBSTITUTE(SUBSTITUTE($A419&amp;"","~","~~"),"*","~*"),"?","~?"))</f>
        <v/>
      </c>
    </row>
    <row r="420" customFormat="false" ht="15" hidden="false" customHeight="false" outlineLevel="0" collapsed="false">
      <c r="A420" s="11"/>
      <c r="B420" s="11"/>
      <c r="C420" s="11"/>
      <c r="D420" s="16"/>
      <c r="E420" s="11"/>
      <c r="F420" s="11"/>
      <c r="G420" s="9"/>
      <c r="H420" s="11"/>
      <c r="I420" s="17"/>
      <c r="J420" s="18" t="str">
        <f aca="false">IF($A420="","",IF(COUNT(Usage!$C:$C)=0,"",MAX(0,SUMIFS(Usage!$C:$C,Usage!$A:$A,$AF420,Usage!$B:$B,"&gt;="&amp;(PlanDate-AduWindow),Usage!$B:$B,"&lt;"&amp;PlanDate))/AduWindow))</f>
        <v/>
      </c>
      <c r="K420" s="18" t="str">
        <f aca="false">IF($A420="","",IF(AND(ISNUMBER($I420),N($I420)&gt;=0),$I420,$J420))</f>
        <v/>
      </c>
      <c r="L420" s="19" t="str">
        <f aca="false">IF($A420="","",IF($K420="","Needs ADU",IF($K420&lt;=0,"No recent demand",IF(N($D420)&lt;=0,"Needs lead time","Planned"))))</f>
        <v/>
      </c>
      <c r="M420" s="8" t="str">
        <f aca="false">IF($A420="","",IF(ISNUMBER(MATCH($C420,Profiles!$A$2:$A$100,0)),$C420,DefaultProfile))</f>
        <v/>
      </c>
      <c r="N420" s="20" t="str">
        <f aca="false">IF($A420="","",INDEX(Profiles!$D$2:$D$100,MATCH($M420,Profiles!$A$2:$A$100,0)))</f>
        <v/>
      </c>
      <c r="O420" s="20" t="str">
        <f aca="false">IF($A420="","",INDEX(Profiles!$E$2:$E$100,MATCH($M420,Profiles!$A$2:$A$100,0)))</f>
        <v/>
      </c>
      <c r="P420" s="21" t="str">
        <f aca="false">IF($L420&lt;&gt;"Planned","",$K420*$D420*$N420*(1+$O420))</f>
        <v/>
      </c>
      <c r="Q420" s="21" t="str">
        <f aca="false">IF($L420&lt;&gt;"Planned","",$K420*$D420)</f>
        <v/>
      </c>
      <c r="R420" s="21" t="str">
        <f aca="false">IF($L420&lt;&gt;"Planned","",MAX(N($E420),$K420*$D420*$N420,$K420*N($G420)))</f>
        <v/>
      </c>
      <c r="S420" s="21" t="str">
        <f aca="false">IF($L420&lt;&gt;"Planned","",$P420)</f>
        <v/>
      </c>
      <c r="T420" s="21" t="str">
        <f aca="false">IF($L420&lt;&gt;"Planned","",$P420+$Q420)</f>
        <v/>
      </c>
      <c r="U420" s="21" t="str">
        <f aca="false">IF($L420&lt;&gt;"Planned","",$T420+$R420)</f>
        <v/>
      </c>
      <c r="V420" s="8" t="str">
        <f aca="false">IF($A420="","",SUMIFS('Open supply'!$C:$C,'Open supply'!$A:$A,$AF420))</f>
        <v/>
      </c>
      <c r="W420" s="8" t="str">
        <f aca="false">IF($A420="","",SUMIFS('Open supply'!$C:$C,'Open supply'!$A:$A,$AF420,'Open supply'!$B:$B,"&lt;"&amp;PlanDate))</f>
        <v/>
      </c>
      <c r="X420" s="8" t="str">
        <f aca="false">IF($A420="","",SUMIFS('Open demand'!$G:$G,'Open demand'!$A:$A,$AF420))</f>
        <v/>
      </c>
      <c r="Y420" s="8" t="str">
        <f aca="false">IF($L420&lt;&gt;"Planned","",N($H420)+$V420-$X420)</f>
        <v/>
      </c>
      <c r="Z420" s="19" t="str">
        <f aca="false">IF($L420&lt;&gt;"Planned","",IF($Y420&lt;=$S420,"Red",IF($Y420&lt;=$T420,"Yellow",IF($Y420&lt;=$U420,"Green","Above green"))))</f>
        <v/>
      </c>
      <c r="AA420" s="22" t="str">
        <f aca="false">IF(OR($L420&lt;&gt;"Planned",N($U420)&lt;=0),"",$Y420/$U420)</f>
        <v/>
      </c>
      <c r="AB420" s="8" t="str">
        <f aca="false">IF($L420&lt;&gt;"Planned","",IF($Y420&lt;=$T420,ROUNDUP(MAX($U420-$Y420,N($E420))/IF(N($F420)&gt;0,$F420,1)-0.000000001,0)*IF(N($F420)&gt;0,$F420,1),""))</f>
        <v/>
      </c>
      <c r="AC420" s="23" t="str">
        <f aca="false">IF(N($AB420)&gt;0,PlanDate+ROUNDUP($D420,0),"")</f>
        <v/>
      </c>
      <c r="AD420" s="19" t="str">
        <f aca="false">IF($L420&lt;&gt;"Planned","",IF(N($H420)&lt;=0,"Stockout",IF(N($H420)&lt;$S420*0.5,"Critical",IF(N($H420)&lt;=$S420,"Low",IF(N($H420)&gt;$U420,"Over top of green","OK")))))</f>
        <v/>
      </c>
      <c r="AE420" s="8" t="str">
        <f aca="false">IF($A420="","",$A420&amp;"")</f>
        <v/>
      </c>
      <c r="AF420" s="8" t="str">
        <f aca="false">IF($A420="","",SUBSTITUTE(SUBSTITUTE(SUBSTITUTE($A420&amp;"","~","~~"),"*","~*"),"?","~?"))</f>
        <v/>
      </c>
    </row>
    <row r="421" customFormat="false" ht="15" hidden="false" customHeight="false" outlineLevel="0" collapsed="false">
      <c r="A421" s="11"/>
      <c r="B421" s="11"/>
      <c r="C421" s="11"/>
      <c r="D421" s="16"/>
      <c r="E421" s="11"/>
      <c r="F421" s="11"/>
      <c r="G421" s="9"/>
      <c r="H421" s="11"/>
      <c r="I421" s="17"/>
      <c r="J421" s="18" t="str">
        <f aca="false">IF($A421="","",IF(COUNT(Usage!$C:$C)=0,"",MAX(0,SUMIFS(Usage!$C:$C,Usage!$A:$A,$AF421,Usage!$B:$B,"&gt;="&amp;(PlanDate-AduWindow),Usage!$B:$B,"&lt;"&amp;PlanDate))/AduWindow))</f>
        <v/>
      </c>
      <c r="K421" s="18" t="str">
        <f aca="false">IF($A421="","",IF(AND(ISNUMBER($I421),N($I421)&gt;=0),$I421,$J421))</f>
        <v/>
      </c>
      <c r="L421" s="19" t="str">
        <f aca="false">IF($A421="","",IF($K421="","Needs ADU",IF($K421&lt;=0,"No recent demand",IF(N($D421)&lt;=0,"Needs lead time","Planned"))))</f>
        <v/>
      </c>
      <c r="M421" s="8" t="str">
        <f aca="false">IF($A421="","",IF(ISNUMBER(MATCH($C421,Profiles!$A$2:$A$100,0)),$C421,DefaultProfile))</f>
        <v/>
      </c>
      <c r="N421" s="20" t="str">
        <f aca="false">IF($A421="","",INDEX(Profiles!$D$2:$D$100,MATCH($M421,Profiles!$A$2:$A$100,0)))</f>
        <v/>
      </c>
      <c r="O421" s="20" t="str">
        <f aca="false">IF($A421="","",INDEX(Profiles!$E$2:$E$100,MATCH($M421,Profiles!$A$2:$A$100,0)))</f>
        <v/>
      </c>
      <c r="P421" s="21" t="str">
        <f aca="false">IF($L421&lt;&gt;"Planned","",$K421*$D421*$N421*(1+$O421))</f>
        <v/>
      </c>
      <c r="Q421" s="21" t="str">
        <f aca="false">IF($L421&lt;&gt;"Planned","",$K421*$D421)</f>
        <v/>
      </c>
      <c r="R421" s="21" t="str">
        <f aca="false">IF($L421&lt;&gt;"Planned","",MAX(N($E421),$K421*$D421*$N421,$K421*N($G421)))</f>
        <v/>
      </c>
      <c r="S421" s="21" t="str">
        <f aca="false">IF($L421&lt;&gt;"Planned","",$P421)</f>
        <v/>
      </c>
      <c r="T421" s="21" t="str">
        <f aca="false">IF($L421&lt;&gt;"Planned","",$P421+$Q421)</f>
        <v/>
      </c>
      <c r="U421" s="21" t="str">
        <f aca="false">IF($L421&lt;&gt;"Planned","",$T421+$R421)</f>
        <v/>
      </c>
      <c r="V421" s="8" t="str">
        <f aca="false">IF($A421="","",SUMIFS('Open supply'!$C:$C,'Open supply'!$A:$A,$AF421))</f>
        <v/>
      </c>
      <c r="W421" s="8" t="str">
        <f aca="false">IF($A421="","",SUMIFS('Open supply'!$C:$C,'Open supply'!$A:$A,$AF421,'Open supply'!$B:$B,"&lt;"&amp;PlanDate))</f>
        <v/>
      </c>
      <c r="X421" s="8" t="str">
        <f aca="false">IF($A421="","",SUMIFS('Open demand'!$G:$G,'Open demand'!$A:$A,$AF421))</f>
        <v/>
      </c>
      <c r="Y421" s="8" t="str">
        <f aca="false">IF($L421&lt;&gt;"Planned","",N($H421)+$V421-$X421)</f>
        <v/>
      </c>
      <c r="Z421" s="19" t="str">
        <f aca="false">IF($L421&lt;&gt;"Planned","",IF($Y421&lt;=$S421,"Red",IF($Y421&lt;=$T421,"Yellow",IF($Y421&lt;=$U421,"Green","Above green"))))</f>
        <v/>
      </c>
      <c r="AA421" s="22" t="str">
        <f aca="false">IF(OR($L421&lt;&gt;"Planned",N($U421)&lt;=0),"",$Y421/$U421)</f>
        <v/>
      </c>
      <c r="AB421" s="8" t="str">
        <f aca="false">IF($L421&lt;&gt;"Planned","",IF($Y421&lt;=$T421,ROUNDUP(MAX($U421-$Y421,N($E421))/IF(N($F421)&gt;0,$F421,1)-0.000000001,0)*IF(N($F421)&gt;0,$F421,1),""))</f>
        <v/>
      </c>
      <c r="AC421" s="23" t="str">
        <f aca="false">IF(N($AB421)&gt;0,PlanDate+ROUNDUP($D421,0),"")</f>
        <v/>
      </c>
      <c r="AD421" s="19" t="str">
        <f aca="false">IF($L421&lt;&gt;"Planned","",IF(N($H421)&lt;=0,"Stockout",IF(N($H421)&lt;$S421*0.5,"Critical",IF(N($H421)&lt;=$S421,"Low",IF(N($H421)&gt;$U421,"Over top of green","OK")))))</f>
        <v/>
      </c>
      <c r="AE421" s="8" t="str">
        <f aca="false">IF($A421="","",$A421&amp;"")</f>
        <v/>
      </c>
      <c r="AF421" s="8" t="str">
        <f aca="false">IF($A421="","",SUBSTITUTE(SUBSTITUTE(SUBSTITUTE($A421&amp;"","~","~~"),"*","~*"),"?","~?"))</f>
        <v/>
      </c>
    </row>
    <row r="422" customFormat="false" ht="15" hidden="false" customHeight="false" outlineLevel="0" collapsed="false">
      <c r="A422" s="11"/>
      <c r="B422" s="11"/>
      <c r="C422" s="11"/>
      <c r="D422" s="16"/>
      <c r="E422" s="11"/>
      <c r="F422" s="11"/>
      <c r="G422" s="9"/>
      <c r="H422" s="11"/>
      <c r="I422" s="17"/>
      <c r="J422" s="18" t="str">
        <f aca="false">IF($A422="","",IF(COUNT(Usage!$C:$C)=0,"",MAX(0,SUMIFS(Usage!$C:$C,Usage!$A:$A,$AF422,Usage!$B:$B,"&gt;="&amp;(PlanDate-AduWindow),Usage!$B:$B,"&lt;"&amp;PlanDate))/AduWindow))</f>
        <v/>
      </c>
      <c r="K422" s="18" t="str">
        <f aca="false">IF($A422="","",IF(AND(ISNUMBER($I422),N($I422)&gt;=0),$I422,$J422))</f>
        <v/>
      </c>
      <c r="L422" s="19" t="str">
        <f aca="false">IF($A422="","",IF($K422="","Needs ADU",IF($K422&lt;=0,"No recent demand",IF(N($D422)&lt;=0,"Needs lead time","Planned"))))</f>
        <v/>
      </c>
      <c r="M422" s="8" t="str">
        <f aca="false">IF($A422="","",IF(ISNUMBER(MATCH($C422,Profiles!$A$2:$A$100,0)),$C422,DefaultProfile))</f>
        <v/>
      </c>
      <c r="N422" s="20" t="str">
        <f aca="false">IF($A422="","",INDEX(Profiles!$D$2:$D$100,MATCH($M422,Profiles!$A$2:$A$100,0)))</f>
        <v/>
      </c>
      <c r="O422" s="20" t="str">
        <f aca="false">IF($A422="","",INDEX(Profiles!$E$2:$E$100,MATCH($M422,Profiles!$A$2:$A$100,0)))</f>
        <v/>
      </c>
      <c r="P422" s="21" t="str">
        <f aca="false">IF($L422&lt;&gt;"Planned","",$K422*$D422*$N422*(1+$O422))</f>
        <v/>
      </c>
      <c r="Q422" s="21" t="str">
        <f aca="false">IF($L422&lt;&gt;"Planned","",$K422*$D422)</f>
        <v/>
      </c>
      <c r="R422" s="21" t="str">
        <f aca="false">IF($L422&lt;&gt;"Planned","",MAX(N($E422),$K422*$D422*$N422,$K422*N($G422)))</f>
        <v/>
      </c>
      <c r="S422" s="21" t="str">
        <f aca="false">IF($L422&lt;&gt;"Planned","",$P422)</f>
        <v/>
      </c>
      <c r="T422" s="21" t="str">
        <f aca="false">IF($L422&lt;&gt;"Planned","",$P422+$Q422)</f>
        <v/>
      </c>
      <c r="U422" s="21" t="str">
        <f aca="false">IF($L422&lt;&gt;"Planned","",$T422+$R422)</f>
        <v/>
      </c>
      <c r="V422" s="8" t="str">
        <f aca="false">IF($A422="","",SUMIFS('Open supply'!$C:$C,'Open supply'!$A:$A,$AF422))</f>
        <v/>
      </c>
      <c r="W422" s="8" t="str">
        <f aca="false">IF($A422="","",SUMIFS('Open supply'!$C:$C,'Open supply'!$A:$A,$AF422,'Open supply'!$B:$B,"&lt;"&amp;PlanDate))</f>
        <v/>
      </c>
      <c r="X422" s="8" t="str">
        <f aca="false">IF($A422="","",SUMIFS('Open demand'!$G:$G,'Open demand'!$A:$A,$AF422))</f>
        <v/>
      </c>
      <c r="Y422" s="8" t="str">
        <f aca="false">IF($L422&lt;&gt;"Planned","",N($H422)+$V422-$X422)</f>
        <v/>
      </c>
      <c r="Z422" s="19" t="str">
        <f aca="false">IF($L422&lt;&gt;"Planned","",IF($Y422&lt;=$S422,"Red",IF($Y422&lt;=$T422,"Yellow",IF($Y422&lt;=$U422,"Green","Above green"))))</f>
        <v/>
      </c>
      <c r="AA422" s="22" t="str">
        <f aca="false">IF(OR($L422&lt;&gt;"Planned",N($U422)&lt;=0),"",$Y422/$U422)</f>
        <v/>
      </c>
      <c r="AB422" s="8" t="str">
        <f aca="false">IF($L422&lt;&gt;"Planned","",IF($Y422&lt;=$T422,ROUNDUP(MAX($U422-$Y422,N($E422))/IF(N($F422)&gt;0,$F422,1)-0.000000001,0)*IF(N($F422)&gt;0,$F422,1),""))</f>
        <v/>
      </c>
      <c r="AC422" s="23" t="str">
        <f aca="false">IF(N($AB422)&gt;0,PlanDate+ROUNDUP($D422,0),"")</f>
        <v/>
      </c>
      <c r="AD422" s="19" t="str">
        <f aca="false">IF($L422&lt;&gt;"Planned","",IF(N($H422)&lt;=0,"Stockout",IF(N($H422)&lt;$S422*0.5,"Critical",IF(N($H422)&lt;=$S422,"Low",IF(N($H422)&gt;$U422,"Over top of green","OK")))))</f>
        <v/>
      </c>
      <c r="AE422" s="8" t="str">
        <f aca="false">IF($A422="","",$A422&amp;"")</f>
        <v/>
      </c>
      <c r="AF422" s="8" t="str">
        <f aca="false">IF($A422="","",SUBSTITUTE(SUBSTITUTE(SUBSTITUTE($A422&amp;"","~","~~"),"*","~*"),"?","~?"))</f>
        <v/>
      </c>
    </row>
    <row r="423" customFormat="false" ht="15" hidden="false" customHeight="false" outlineLevel="0" collapsed="false">
      <c r="A423" s="11"/>
      <c r="B423" s="11"/>
      <c r="C423" s="11"/>
      <c r="D423" s="16"/>
      <c r="E423" s="11"/>
      <c r="F423" s="11"/>
      <c r="G423" s="9"/>
      <c r="H423" s="11"/>
      <c r="I423" s="17"/>
      <c r="J423" s="18" t="str">
        <f aca="false">IF($A423="","",IF(COUNT(Usage!$C:$C)=0,"",MAX(0,SUMIFS(Usage!$C:$C,Usage!$A:$A,$AF423,Usage!$B:$B,"&gt;="&amp;(PlanDate-AduWindow),Usage!$B:$B,"&lt;"&amp;PlanDate))/AduWindow))</f>
        <v/>
      </c>
      <c r="K423" s="18" t="str">
        <f aca="false">IF($A423="","",IF(AND(ISNUMBER($I423),N($I423)&gt;=0),$I423,$J423))</f>
        <v/>
      </c>
      <c r="L423" s="19" t="str">
        <f aca="false">IF($A423="","",IF($K423="","Needs ADU",IF($K423&lt;=0,"No recent demand",IF(N($D423)&lt;=0,"Needs lead time","Planned"))))</f>
        <v/>
      </c>
      <c r="M423" s="8" t="str">
        <f aca="false">IF($A423="","",IF(ISNUMBER(MATCH($C423,Profiles!$A$2:$A$100,0)),$C423,DefaultProfile))</f>
        <v/>
      </c>
      <c r="N423" s="20" t="str">
        <f aca="false">IF($A423="","",INDEX(Profiles!$D$2:$D$100,MATCH($M423,Profiles!$A$2:$A$100,0)))</f>
        <v/>
      </c>
      <c r="O423" s="20" t="str">
        <f aca="false">IF($A423="","",INDEX(Profiles!$E$2:$E$100,MATCH($M423,Profiles!$A$2:$A$100,0)))</f>
        <v/>
      </c>
      <c r="P423" s="21" t="str">
        <f aca="false">IF($L423&lt;&gt;"Planned","",$K423*$D423*$N423*(1+$O423))</f>
        <v/>
      </c>
      <c r="Q423" s="21" t="str">
        <f aca="false">IF($L423&lt;&gt;"Planned","",$K423*$D423)</f>
        <v/>
      </c>
      <c r="R423" s="21" t="str">
        <f aca="false">IF($L423&lt;&gt;"Planned","",MAX(N($E423),$K423*$D423*$N423,$K423*N($G423)))</f>
        <v/>
      </c>
      <c r="S423" s="21" t="str">
        <f aca="false">IF($L423&lt;&gt;"Planned","",$P423)</f>
        <v/>
      </c>
      <c r="T423" s="21" t="str">
        <f aca="false">IF($L423&lt;&gt;"Planned","",$P423+$Q423)</f>
        <v/>
      </c>
      <c r="U423" s="21" t="str">
        <f aca="false">IF($L423&lt;&gt;"Planned","",$T423+$R423)</f>
        <v/>
      </c>
      <c r="V423" s="8" t="str">
        <f aca="false">IF($A423="","",SUMIFS('Open supply'!$C:$C,'Open supply'!$A:$A,$AF423))</f>
        <v/>
      </c>
      <c r="W423" s="8" t="str">
        <f aca="false">IF($A423="","",SUMIFS('Open supply'!$C:$C,'Open supply'!$A:$A,$AF423,'Open supply'!$B:$B,"&lt;"&amp;PlanDate))</f>
        <v/>
      </c>
      <c r="X423" s="8" t="str">
        <f aca="false">IF($A423="","",SUMIFS('Open demand'!$G:$G,'Open demand'!$A:$A,$AF423))</f>
        <v/>
      </c>
      <c r="Y423" s="8" t="str">
        <f aca="false">IF($L423&lt;&gt;"Planned","",N($H423)+$V423-$X423)</f>
        <v/>
      </c>
      <c r="Z423" s="19" t="str">
        <f aca="false">IF($L423&lt;&gt;"Planned","",IF($Y423&lt;=$S423,"Red",IF($Y423&lt;=$T423,"Yellow",IF($Y423&lt;=$U423,"Green","Above green"))))</f>
        <v/>
      </c>
      <c r="AA423" s="22" t="str">
        <f aca="false">IF(OR($L423&lt;&gt;"Planned",N($U423)&lt;=0),"",$Y423/$U423)</f>
        <v/>
      </c>
      <c r="AB423" s="8" t="str">
        <f aca="false">IF($L423&lt;&gt;"Planned","",IF($Y423&lt;=$T423,ROUNDUP(MAX($U423-$Y423,N($E423))/IF(N($F423)&gt;0,$F423,1)-0.000000001,0)*IF(N($F423)&gt;0,$F423,1),""))</f>
        <v/>
      </c>
      <c r="AC423" s="23" t="str">
        <f aca="false">IF(N($AB423)&gt;0,PlanDate+ROUNDUP($D423,0),"")</f>
        <v/>
      </c>
      <c r="AD423" s="19" t="str">
        <f aca="false">IF($L423&lt;&gt;"Planned","",IF(N($H423)&lt;=0,"Stockout",IF(N($H423)&lt;$S423*0.5,"Critical",IF(N($H423)&lt;=$S423,"Low",IF(N($H423)&gt;$U423,"Over top of green","OK")))))</f>
        <v/>
      </c>
      <c r="AE423" s="8" t="str">
        <f aca="false">IF($A423="","",$A423&amp;"")</f>
        <v/>
      </c>
      <c r="AF423" s="8" t="str">
        <f aca="false">IF($A423="","",SUBSTITUTE(SUBSTITUTE(SUBSTITUTE($A423&amp;"","~","~~"),"*","~*"),"?","~?"))</f>
        <v/>
      </c>
    </row>
    <row r="424" customFormat="false" ht="15" hidden="false" customHeight="false" outlineLevel="0" collapsed="false">
      <c r="A424" s="11"/>
      <c r="B424" s="11"/>
      <c r="C424" s="11"/>
      <c r="D424" s="16"/>
      <c r="E424" s="11"/>
      <c r="F424" s="11"/>
      <c r="G424" s="9"/>
      <c r="H424" s="11"/>
      <c r="I424" s="17"/>
      <c r="J424" s="18" t="str">
        <f aca="false">IF($A424="","",IF(COUNT(Usage!$C:$C)=0,"",MAX(0,SUMIFS(Usage!$C:$C,Usage!$A:$A,$AF424,Usage!$B:$B,"&gt;="&amp;(PlanDate-AduWindow),Usage!$B:$B,"&lt;"&amp;PlanDate))/AduWindow))</f>
        <v/>
      </c>
      <c r="K424" s="18" t="str">
        <f aca="false">IF($A424="","",IF(AND(ISNUMBER($I424),N($I424)&gt;=0),$I424,$J424))</f>
        <v/>
      </c>
      <c r="L424" s="19" t="str">
        <f aca="false">IF($A424="","",IF($K424="","Needs ADU",IF($K424&lt;=0,"No recent demand",IF(N($D424)&lt;=0,"Needs lead time","Planned"))))</f>
        <v/>
      </c>
      <c r="M424" s="8" t="str">
        <f aca="false">IF($A424="","",IF(ISNUMBER(MATCH($C424,Profiles!$A$2:$A$100,0)),$C424,DefaultProfile))</f>
        <v/>
      </c>
      <c r="N424" s="20" t="str">
        <f aca="false">IF($A424="","",INDEX(Profiles!$D$2:$D$100,MATCH($M424,Profiles!$A$2:$A$100,0)))</f>
        <v/>
      </c>
      <c r="O424" s="20" t="str">
        <f aca="false">IF($A424="","",INDEX(Profiles!$E$2:$E$100,MATCH($M424,Profiles!$A$2:$A$100,0)))</f>
        <v/>
      </c>
      <c r="P424" s="21" t="str">
        <f aca="false">IF($L424&lt;&gt;"Planned","",$K424*$D424*$N424*(1+$O424))</f>
        <v/>
      </c>
      <c r="Q424" s="21" t="str">
        <f aca="false">IF($L424&lt;&gt;"Planned","",$K424*$D424)</f>
        <v/>
      </c>
      <c r="R424" s="21" t="str">
        <f aca="false">IF($L424&lt;&gt;"Planned","",MAX(N($E424),$K424*$D424*$N424,$K424*N($G424)))</f>
        <v/>
      </c>
      <c r="S424" s="21" t="str">
        <f aca="false">IF($L424&lt;&gt;"Planned","",$P424)</f>
        <v/>
      </c>
      <c r="T424" s="21" t="str">
        <f aca="false">IF($L424&lt;&gt;"Planned","",$P424+$Q424)</f>
        <v/>
      </c>
      <c r="U424" s="21" t="str">
        <f aca="false">IF($L424&lt;&gt;"Planned","",$T424+$R424)</f>
        <v/>
      </c>
      <c r="V424" s="8" t="str">
        <f aca="false">IF($A424="","",SUMIFS('Open supply'!$C:$C,'Open supply'!$A:$A,$AF424))</f>
        <v/>
      </c>
      <c r="W424" s="8" t="str">
        <f aca="false">IF($A424="","",SUMIFS('Open supply'!$C:$C,'Open supply'!$A:$A,$AF424,'Open supply'!$B:$B,"&lt;"&amp;PlanDate))</f>
        <v/>
      </c>
      <c r="X424" s="8" t="str">
        <f aca="false">IF($A424="","",SUMIFS('Open demand'!$G:$G,'Open demand'!$A:$A,$AF424))</f>
        <v/>
      </c>
      <c r="Y424" s="8" t="str">
        <f aca="false">IF($L424&lt;&gt;"Planned","",N($H424)+$V424-$X424)</f>
        <v/>
      </c>
      <c r="Z424" s="19" t="str">
        <f aca="false">IF($L424&lt;&gt;"Planned","",IF($Y424&lt;=$S424,"Red",IF($Y424&lt;=$T424,"Yellow",IF($Y424&lt;=$U424,"Green","Above green"))))</f>
        <v/>
      </c>
      <c r="AA424" s="22" t="str">
        <f aca="false">IF(OR($L424&lt;&gt;"Planned",N($U424)&lt;=0),"",$Y424/$U424)</f>
        <v/>
      </c>
      <c r="AB424" s="8" t="str">
        <f aca="false">IF($L424&lt;&gt;"Planned","",IF($Y424&lt;=$T424,ROUNDUP(MAX($U424-$Y424,N($E424))/IF(N($F424)&gt;0,$F424,1)-0.000000001,0)*IF(N($F424)&gt;0,$F424,1),""))</f>
        <v/>
      </c>
      <c r="AC424" s="23" t="str">
        <f aca="false">IF(N($AB424)&gt;0,PlanDate+ROUNDUP($D424,0),"")</f>
        <v/>
      </c>
      <c r="AD424" s="19" t="str">
        <f aca="false">IF($L424&lt;&gt;"Planned","",IF(N($H424)&lt;=0,"Stockout",IF(N($H424)&lt;$S424*0.5,"Critical",IF(N($H424)&lt;=$S424,"Low",IF(N($H424)&gt;$U424,"Over top of green","OK")))))</f>
        <v/>
      </c>
      <c r="AE424" s="8" t="str">
        <f aca="false">IF($A424="","",$A424&amp;"")</f>
        <v/>
      </c>
      <c r="AF424" s="8" t="str">
        <f aca="false">IF($A424="","",SUBSTITUTE(SUBSTITUTE(SUBSTITUTE($A424&amp;"","~","~~"),"*","~*"),"?","~?"))</f>
        <v/>
      </c>
    </row>
    <row r="425" customFormat="false" ht="15" hidden="false" customHeight="false" outlineLevel="0" collapsed="false">
      <c r="A425" s="11"/>
      <c r="B425" s="11"/>
      <c r="C425" s="11"/>
      <c r="D425" s="16"/>
      <c r="E425" s="11"/>
      <c r="F425" s="11"/>
      <c r="G425" s="9"/>
      <c r="H425" s="11"/>
      <c r="I425" s="17"/>
      <c r="J425" s="18" t="str">
        <f aca="false">IF($A425="","",IF(COUNT(Usage!$C:$C)=0,"",MAX(0,SUMIFS(Usage!$C:$C,Usage!$A:$A,$AF425,Usage!$B:$B,"&gt;="&amp;(PlanDate-AduWindow),Usage!$B:$B,"&lt;"&amp;PlanDate))/AduWindow))</f>
        <v/>
      </c>
      <c r="K425" s="18" t="str">
        <f aca="false">IF($A425="","",IF(AND(ISNUMBER($I425),N($I425)&gt;=0),$I425,$J425))</f>
        <v/>
      </c>
      <c r="L425" s="19" t="str">
        <f aca="false">IF($A425="","",IF($K425="","Needs ADU",IF($K425&lt;=0,"No recent demand",IF(N($D425)&lt;=0,"Needs lead time","Planned"))))</f>
        <v/>
      </c>
      <c r="M425" s="8" t="str">
        <f aca="false">IF($A425="","",IF(ISNUMBER(MATCH($C425,Profiles!$A$2:$A$100,0)),$C425,DefaultProfile))</f>
        <v/>
      </c>
      <c r="N425" s="20" t="str">
        <f aca="false">IF($A425="","",INDEX(Profiles!$D$2:$D$100,MATCH($M425,Profiles!$A$2:$A$100,0)))</f>
        <v/>
      </c>
      <c r="O425" s="20" t="str">
        <f aca="false">IF($A425="","",INDEX(Profiles!$E$2:$E$100,MATCH($M425,Profiles!$A$2:$A$100,0)))</f>
        <v/>
      </c>
      <c r="P425" s="21" t="str">
        <f aca="false">IF($L425&lt;&gt;"Planned","",$K425*$D425*$N425*(1+$O425))</f>
        <v/>
      </c>
      <c r="Q425" s="21" t="str">
        <f aca="false">IF($L425&lt;&gt;"Planned","",$K425*$D425)</f>
        <v/>
      </c>
      <c r="R425" s="21" t="str">
        <f aca="false">IF($L425&lt;&gt;"Planned","",MAX(N($E425),$K425*$D425*$N425,$K425*N($G425)))</f>
        <v/>
      </c>
      <c r="S425" s="21" t="str">
        <f aca="false">IF($L425&lt;&gt;"Planned","",$P425)</f>
        <v/>
      </c>
      <c r="T425" s="21" t="str">
        <f aca="false">IF($L425&lt;&gt;"Planned","",$P425+$Q425)</f>
        <v/>
      </c>
      <c r="U425" s="21" t="str">
        <f aca="false">IF($L425&lt;&gt;"Planned","",$T425+$R425)</f>
        <v/>
      </c>
      <c r="V425" s="8" t="str">
        <f aca="false">IF($A425="","",SUMIFS('Open supply'!$C:$C,'Open supply'!$A:$A,$AF425))</f>
        <v/>
      </c>
      <c r="W425" s="8" t="str">
        <f aca="false">IF($A425="","",SUMIFS('Open supply'!$C:$C,'Open supply'!$A:$A,$AF425,'Open supply'!$B:$B,"&lt;"&amp;PlanDate))</f>
        <v/>
      </c>
      <c r="X425" s="8" t="str">
        <f aca="false">IF($A425="","",SUMIFS('Open demand'!$G:$G,'Open demand'!$A:$A,$AF425))</f>
        <v/>
      </c>
      <c r="Y425" s="8" t="str">
        <f aca="false">IF($L425&lt;&gt;"Planned","",N($H425)+$V425-$X425)</f>
        <v/>
      </c>
      <c r="Z425" s="19" t="str">
        <f aca="false">IF($L425&lt;&gt;"Planned","",IF($Y425&lt;=$S425,"Red",IF($Y425&lt;=$T425,"Yellow",IF($Y425&lt;=$U425,"Green","Above green"))))</f>
        <v/>
      </c>
      <c r="AA425" s="22" t="str">
        <f aca="false">IF(OR($L425&lt;&gt;"Planned",N($U425)&lt;=0),"",$Y425/$U425)</f>
        <v/>
      </c>
      <c r="AB425" s="8" t="str">
        <f aca="false">IF($L425&lt;&gt;"Planned","",IF($Y425&lt;=$T425,ROUNDUP(MAX($U425-$Y425,N($E425))/IF(N($F425)&gt;0,$F425,1)-0.000000001,0)*IF(N($F425)&gt;0,$F425,1),""))</f>
        <v/>
      </c>
      <c r="AC425" s="23" t="str">
        <f aca="false">IF(N($AB425)&gt;0,PlanDate+ROUNDUP($D425,0),"")</f>
        <v/>
      </c>
      <c r="AD425" s="19" t="str">
        <f aca="false">IF($L425&lt;&gt;"Planned","",IF(N($H425)&lt;=0,"Stockout",IF(N($H425)&lt;$S425*0.5,"Critical",IF(N($H425)&lt;=$S425,"Low",IF(N($H425)&gt;$U425,"Over top of green","OK")))))</f>
        <v/>
      </c>
      <c r="AE425" s="8" t="str">
        <f aca="false">IF($A425="","",$A425&amp;"")</f>
        <v/>
      </c>
      <c r="AF425" s="8" t="str">
        <f aca="false">IF($A425="","",SUBSTITUTE(SUBSTITUTE(SUBSTITUTE($A425&amp;"","~","~~"),"*","~*"),"?","~?"))</f>
        <v/>
      </c>
    </row>
    <row r="426" customFormat="false" ht="15" hidden="false" customHeight="false" outlineLevel="0" collapsed="false">
      <c r="A426" s="11"/>
      <c r="B426" s="11"/>
      <c r="C426" s="11"/>
      <c r="D426" s="16"/>
      <c r="E426" s="11"/>
      <c r="F426" s="11"/>
      <c r="G426" s="9"/>
      <c r="H426" s="11"/>
      <c r="I426" s="17"/>
      <c r="J426" s="18" t="str">
        <f aca="false">IF($A426="","",IF(COUNT(Usage!$C:$C)=0,"",MAX(0,SUMIFS(Usage!$C:$C,Usage!$A:$A,$AF426,Usage!$B:$B,"&gt;="&amp;(PlanDate-AduWindow),Usage!$B:$B,"&lt;"&amp;PlanDate))/AduWindow))</f>
        <v/>
      </c>
      <c r="K426" s="18" t="str">
        <f aca="false">IF($A426="","",IF(AND(ISNUMBER($I426),N($I426)&gt;=0),$I426,$J426))</f>
        <v/>
      </c>
      <c r="L426" s="19" t="str">
        <f aca="false">IF($A426="","",IF($K426="","Needs ADU",IF($K426&lt;=0,"No recent demand",IF(N($D426)&lt;=0,"Needs lead time","Planned"))))</f>
        <v/>
      </c>
      <c r="M426" s="8" t="str">
        <f aca="false">IF($A426="","",IF(ISNUMBER(MATCH($C426,Profiles!$A$2:$A$100,0)),$C426,DefaultProfile))</f>
        <v/>
      </c>
      <c r="N426" s="20" t="str">
        <f aca="false">IF($A426="","",INDEX(Profiles!$D$2:$D$100,MATCH($M426,Profiles!$A$2:$A$100,0)))</f>
        <v/>
      </c>
      <c r="O426" s="20" t="str">
        <f aca="false">IF($A426="","",INDEX(Profiles!$E$2:$E$100,MATCH($M426,Profiles!$A$2:$A$100,0)))</f>
        <v/>
      </c>
      <c r="P426" s="21" t="str">
        <f aca="false">IF($L426&lt;&gt;"Planned","",$K426*$D426*$N426*(1+$O426))</f>
        <v/>
      </c>
      <c r="Q426" s="21" t="str">
        <f aca="false">IF($L426&lt;&gt;"Planned","",$K426*$D426)</f>
        <v/>
      </c>
      <c r="R426" s="21" t="str">
        <f aca="false">IF($L426&lt;&gt;"Planned","",MAX(N($E426),$K426*$D426*$N426,$K426*N($G426)))</f>
        <v/>
      </c>
      <c r="S426" s="21" t="str">
        <f aca="false">IF($L426&lt;&gt;"Planned","",$P426)</f>
        <v/>
      </c>
      <c r="T426" s="21" t="str">
        <f aca="false">IF($L426&lt;&gt;"Planned","",$P426+$Q426)</f>
        <v/>
      </c>
      <c r="U426" s="21" t="str">
        <f aca="false">IF($L426&lt;&gt;"Planned","",$T426+$R426)</f>
        <v/>
      </c>
      <c r="V426" s="8" t="str">
        <f aca="false">IF($A426="","",SUMIFS('Open supply'!$C:$C,'Open supply'!$A:$A,$AF426))</f>
        <v/>
      </c>
      <c r="W426" s="8" t="str">
        <f aca="false">IF($A426="","",SUMIFS('Open supply'!$C:$C,'Open supply'!$A:$A,$AF426,'Open supply'!$B:$B,"&lt;"&amp;PlanDate))</f>
        <v/>
      </c>
      <c r="X426" s="8" t="str">
        <f aca="false">IF($A426="","",SUMIFS('Open demand'!$G:$G,'Open demand'!$A:$A,$AF426))</f>
        <v/>
      </c>
      <c r="Y426" s="8" t="str">
        <f aca="false">IF($L426&lt;&gt;"Planned","",N($H426)+$V426-$X426)</f>
        <v/>
      </c>
      <c r="Z426" s="19" t="str">
        <f aca="false">IF($L426&lt;&gt;"Planned","",IF($Y426&lt;=$S426,"Red",IF($Y426&lt;=$T426,"Yellow",IF($Y426&lt;=$U426,"Green","Above green"))))</f>
        <v/>
      </c>
      <c r="AA426" s="22" t="str">
        <f aca="false">IF(OR($L426&lt;&gt;"Planned",N($U426)&lt;=0),"",$Y426/$U426)</f>
        <v/>
      </c>
      <c r="AB426" s="8" t="str">
        <f aca="false">IF($L426&lt;&gt;"Planned","",IF($Y426&lt;=$T426,ROUNDUP(MAX($U426-$Y426,N($E426))/IF(N($F426)&gt;0,$F426,1)-0.000000001,0)*IF(N($F426)&gt;0,$F426,1),""))</f>
        <v/>
      </c>
      <c r="AC426" s="23" t="str">
        <f aca="false">IF(N($AB426)&gt;0,PlanDate+ROUNDUP($D426,0),"")</f>
        <v/>
      </c>
      <c r="AD426" s="19" t="str">
        <f aca="false">IF($L426&lt;&gt;"Planned","",IF(N($H426)&lt;=0,"Stockout",IF(N($H426)&lt;$S426*0.5,"Critical",IF(N($H426)&lt;=$S426,"Low",IF(N($H426)&gt;$U426,"Over top of green","OK")))))</f>
        <v/>
      </c>
      <c r="AE426" s="8" t="str">
        <f aca="false">IF($A426="","",$A426&amp;"")</f>
        <v/>
      </c>
      <c r="AF426" s="8" t="str">
        <f aca="false">IF($A426="","",SUBSTITUTE(SUBSTITUTE(SUBSTITUTE($A426&amp;"","~","~~"),"*","~*"),"?","~?"))</f>
        <v/>
      </c>
    </row>
    <row r="427" customFormat="false" ht="15" hidden="false" customHeight="false" outlineLevel="0" collapsed="false">
      <c r="A427" s="11"/>
      <c r="B427" s="11"/>
      <c r="C427" s="11"/>
      <c r="D427" s="16"/>
      <c r="E427" s="11"/>
      <c r="F427" s="11"/>
      <c r="G427" s="9"/>
      <c r="H427" s="11"/>
      <c r="I427" s="17"/>
      <c r="J427" s="18" t="str">
        <f aca="false">IF($A427="","",IF(COUNT(Usage!$C:$C)=0,"",MAX(0,SUMIFS(Usage!$C:$C,Usage!$A:$A,$AF427,Usage!$B:$B,"&gt;="&amp;(PlanDate-AduWindow),Usage!$B:$B,"&lt;"&amp;PlanDate))/AduWindow))</f>
        <v/>
      </c>
      <c r="K427" s="18" t="str">
        <f aca="false">IF($A427="","",IF(AND(ISNUMBER($I427),N($I427)&gt;=0),$I427,$J427))</f>
        <v/>
      </c>
      <c r="L427" s="19" t="str">
        <f aca="false">IF($A427="","",IF($K427="","Needs ADU",IF($K427&lt;=0,"No recent demand",IF(N($D427)&lt;=0,"Needs lead time","Planned"))))</f>
        <v/>
      </c>
      <c r="M427" s="8" t="str">
        <f aca="false">IF($A427="","",IF(ISNUMBER(MATCH($C427,Profiles!$A$2:$A$100,0)),$C427,DefaultProfile))</f>
        <v/>
      </c>
      <c r="N427" s="20" t="str">
        <f aca="false">IF($A427="","",INDEX(Profiles!$D$2:$D$100,MATCH($M427,Profiles!$A$2:$A$100,0)))</f>
        <v/>
      </c>
      <c r="O427" s="20" t="str">
        <f aca="false">IF($A427="","",INDEX(Profiles!$E$2:$E$100,MATCH($M427,Profiles!$A$2:$A$100,0)))</f>
        <v/>
      </c>
      <c r="P427" s="21" t="str">
        <f aca="false">IF($L427&lt;&gt;"Planned","",$K427*$D427*$N427*(1+$O427))</f>
        <v/>
      </c>
      <c r="Q427" s="21" t="str">
        <f aca="false">IF($L427&lt;&gt;"Planned","",$K427*$D427)</f>
        <v/>
      </c>
      <c r="R427" s="21" t="str">
        <f aca="false">IF($L427&lt;&gt;"Planned","",MAX(N($E427),$K427*$D427*$N427,$K427*N($G427)))</f>
        <v/>
      </c>
      <c r="S427" s="21" t="str">
        <f aca="false">IF($L427&lt;&gt;"Planned","",$P427)</f>
        <v/>
      </c>
      <c r="T427" s="21" t="str">
        <f aca="false">IF($L427&lt;&gt;"Planned","",$P427+$Q427)</f>
        <v/>
      </c>
      <c r="U427" s="21" t="str">
        <f aca="false">IF($L427&lt;&gt;"Planned","",$T427+$R427)</f>
        <v/>
      </c>
      <c r="V427" s="8" t="str">
        <f aca="false">IF($A427="","",SUMIFS('Open supply'!$C:$C,'Open supply'!$A:$A,$AF427))</f>
        <v/>
      </c>
      <c r="W427" s="8" t="str">
        <f aca="false">IF($A427="","",SUMIFS('Open supply'!$C:$C,'Open supply'!$A:$A,$AF427,'Open supply'!$B:$B,"&lt;"&amp;PlanDate))</f>
        <v/>
      </c>
      <c r="X427" s="8" t="str">
        <f aca="false">IF($A427="","",SUMIFS('Open demand'!$G:$G,'Open demand'!$A:$A,$AF427))</f>
        <v/>
      </c>
      <c r="Y427" s="8" t="str">
        <f aca="false">IF($L427&lt;&gt;"Planned","",N($H427)+$V427-$X427)</f>
        <v/>
      </c>
      <c r="Z427" s="19" t="str">
        <f aca="false">IF($L427&lt;&gt;"Planned","",IF($Y427&lt;=$S427,"Red",IF($Y427&lt;=$T427,"Yellow",IF($Y427&lt;=$U427,"Green","Above green"))))</f>
        <v/>
      </c>
      <c r="AA427" s="22" t="str">
        <f aca="false">IF(OR($L427&lt;&gt;"Planned",N($U427)&lt;=0),"",$Y427/$U427)</f>
        <v/>
      </c>
      <c r="AB427" s="8" t="str">
        <f aca="false">IF($L427&lt;&gt;"Planned","",IF($Y427&lt;=$T427,ROUNDUP(MAX($U427-$Y427,N($E427))/IF(N($F427)&gt;0,$F427,1)-0.000000001,0)*IF(N($F427)&gt;0,$F427,1),""))</f>
        <v/>
      </c>
      <c r="AC427" s="23" t="str">
        <f aca="false">IF(N($AB427)&gt;0,PlanDate+ROUNDUP($D427,0),"")</f>
        <v/>
      </c>
      <c r="AD427" s="19" t="str">
        <f aca="false">IF($L427&lt;&gt;"Planned","",IF(N($H427)&lt;=0,"Stockout",IF(N($H427)&lt;$S427*0.5,"Critical",IF(N($H427)&lt;=$S427,"Low",IF(N($H427)&gt;$U427,"Over top of green","OK")))))</f>
        <v/>
      </c>
      <c r="AE427" s="8" t="str">
        <f aca="false">IF($A427="","",$A427&amp;"")</f>
        <v/>
      </c>
      <c r="AF427" s="8" t="str">
        <f aca="false">IF($A427="","",SUBSTITUTE(SUBSTITUTE(SUBSTITUTE($A427&amp;"","~","~~"),"*","~*"),"?","~?"))</f>
        <v/>
      </c>
    </row>
    <row r="428" customFormat="false" ht="15" hidden="false" customHeight="false" outlineLevel="0" collapsed="false">
      <c r="A428" s="11"/>
      <c r="B428" s="11"/>
      <c r="C428" s="11"/>
      <c r="D428" s="16"/>
      <c r="E428" s="11"/>
      <c r="F428" s="11"/>
      <c r="G428" s="9"/>
      <c r="H428" s="11"/>
      <c r="I428" s="17"/>
      <c r="J428" s="18" t="str">
        <f aca="false">IF($A428="","",IF(COUNT(Usage!$C:$C)=0,"",MAX(0,SUMIFS(Usage!$C:$C,Usage!$A:$A,$AF428,Usage!$B:$B,"&gt;="&amp;(PlanDate-AduWindow),Usage!$B:$B,"&lt;"&amp;PlanDate))/AduWindow))</f>
        <v/>
      </c>
      <c r="K428" s="18" t="str">
        <f aca="false">IF($A428="","",IF(AND(ISNUMBER($I428),N($I428)&gt;=0),$I428,$J428))</f>
        <v/>
      </c>
      <c r="L428" s="19" t="str">
        <f aca="false">IF($A428="","",IF($K428="","Needs ADU",IF($K428&lt;=0,"No recent demand",IF(N($D428)&lt;=0,"Needs lead time","Planned"))))</f>
        <v/>
      </c>
      <c r="M428" s="8" t="str">
        <f aca="false">IF($A428="","",IF(ISNUMBER(MATCH($C428,Profiles!$A$2:$A$100,0)),$C428,DefaultProfile))</f>
        <v/>
      </c>
      <c r="N428" s="20" t="str">
        <f aca="false">IF($A428="","",INDEX(Profiles!$D$2:$D$100,MATCH($M428,Profiles!$A$2:$A$100,0)))</f>
        <v/>
      </c>
      <c r="O428" s="20" t="str">
        <f aca="false">IF($A428="","",INDEX(Profiles!$E$2:$E$100,MATCH($M428,Profiles!$A$2:$A$100,0)))</f>
        <v/>
      </c>
      <c r="P428" s="21" t="str">
        <f aca="false">IF($L428&lt;&gt;"Planned","",$K428*$D428*$N428*(1+$O428))</f>
        <v/>
      </c>
      <c r="Q428" s="21" t="str">
        <f aca="false">IF($L428&lt;&gt;"Planned","",$K428*$D428)</f>
        <v/>
      </c>
      <c r="R428" s="21" t="str">
        <f aca="false">IF($L428&lt;&gt;"Planned","",MAX(N($E428),$K428*$D428*$N428,$K428*N($G428)))</f>
        <v/>
      </c>
      <c r="S428" s="21" t="str">
        <f aca="false">IF($L428&lt;&gt;"Planned","",$P428)</f>
        <v/>
      </c>
      <c r="T428" s="21" t="str">
        <f aca="false">IF($L428&lt;&gt;"Planned","",$P428+$Q428)</f>
        <v/>
      </c>
      <c r="U428" s="21" t="str">
        <f aca="false">IF($L428&lt;&gt;"Planned","",$T428+$R428)</f>
        <v/>
      </c>
      <c r="V428" s="8" t="str">
        <f aca="false">IF($A428="","",SUMIFS('Open supply'!$C:$C,'Open supply'!$A:$A,$AF428))</f>
        <v/>
      </c>
      <c r="W428" s="8" t="str">
        <f aca="false">IF($A428="","",SUMIFS('Open supply'!$C:$C,'Open supply'!$A:$A,$AF428,'Open supply'!$B:$B,"&lt;"&amp;PlanDate))</f>
        <v/>
      </c>
      <c r="X428" s="8" t="str">
        <f aca="false">IF($A428="","",SUMIFS('Open demand'!$G:$G,'Open demand'!$A:$A,$AF428))</f>
        <v/>
      </c>
      <c r="Y428" s="8" t="str">
        <f aca="false">IF($L428&lt;&gt;"Planned","",N($H428)+$V428-$X428)</f>
        <v/>
      </c>
      <c r="Z428" s="19" t="str">
        <f aca="false">IF($L428&lt;&gt;"Planned","",IF($Y428&lt;=$S428,"Red",IF($Y428&lt;=$T428,"Yellow",IF($Y428&lt;=$U428,"Green","Above green"))))</f>
        <v/>
      </c>
      <c r="AA428" s="22" t="str">
        <f aca="false">IF(OR($L428&lt;&gt;"Planned",N($U428)&lt;=0),"",$Y428/$U428)</f>
        <v/>
      </c>
      <c r="AB428" s="8" t="str">
        <f aca="false">IF($L428&lt;&gt;"Planned","",IF($Y428&lt;=$T428,ROUNDUP(MAX($U428-$Y428,N($E428))/IF(N($F428)&gt;0,$F428,1)-0.000000001,0)*IF(N($F428)&gt;0,$F428,1),""))</f>
        <v/>
      </c>
      <c r="AC428" s="23" t="str">
        <f aca="false">IF(N($AB428)&gt;0,PlanDate+ROUNDUP($D428,0),"")</f>
        <v/>
      </c>
      <c r="AD428" s="19" t="str">
        <f aca="false">IF($L428&lt;&gt;"Planned","",IF(N($H428)&lt;=0,"Stockout",IF(N($H428)&lt;$S428*0.5,"Critical",IF(N($H428)&lt;=$S428,"Low",IF(N($H428)&gt;$U428,"Over top of green","OK")))))</f>
        <v/>
      </c>
      <c r="AE428" s="8" t="str">
        <f aca="false">IF($A428="","",$A428&amp;"")</f>
        <v/>
      </c>
      <c r="AF428" s="8" t="str">
        <f aca="false">IF($A428="","",SUBSTITUTE(SUBSTITUTE(SUBSTITUTE($A428&amp;"","~","~~"),"*","~*"),"?","~?"))</f>
        <v/>
      </c>
    </row>
    <row r="429" customFormat="false" ht="15" hidden="false" customHeight="false" outlineLevel="0" collapsed="false">
      <c r="A429" s="11"/>
      <c r="B429" s="11"/>
      <c r="C429" s="11"/>
      <c r="D429" s="16"/>
      <c r="E429" s="11"/>
      <c r="F429" s="11"/>
      <c r="G429" s="9"/>
      <c r="H429" s="11"/>
      <c r="I429" s="17"/>
      <c r="J429" s="18" t="str">
        <f aca="false">IF($A429="","",IF(COUNT(Usage!$C:$C)=0,"",MAX(0,SUMIFS(Usage!$C:$C,Usage!$A:$A,$AF429,Usage!$B:$B,"&gt;="&amp;(PlanDate-AduWindow),Usage!$B:$B,"&lt;"&amp;PlanDate))/AduWindow))</f>
        <v/>
      </c>
      <c r="K429" s="18" t="str">
        <f aca="false">IF($A429="","",IF(AND(ISNUMBER($I429),N($I429)&gt;=0),$I429,$J429))</f>
        <v/>
      </c>
      <c r="L429" s="19" t="str">
        <f aca="false">IF($A429="","",IF($K429="","Needs ADU",IF($K429&lt;=0,"No recent demand",IF(N($D429)&lt;=0,"Needs lead time","Planned"))))</f>
        <v/>
      </c>
      <c r="M429" s="8" t="str">
        <f aca="false">IF($A429="","",IF(ISNUMBER(MATCH($C429,Profiles!$A$2:$A$100,0)),$C429,DefaultProfile))</f>
        <v/>
      </c>
      <c r="N429" s="20" t="str">
        <f aca="false">IF($A429="","",INDEX(Profiles!$D$2:$D$100,MATCH($M429,Profiles!$A$2:$A$100,0)))</f>
        <v/>
      </c>
      <c r="O429" s="20" t="str">
        <f aca="false">IF($A429="","",INDEX(Profiles!$E$2:$E$100,MATCH($M429,Profiles!$A$2:$A$100,0)))</f>
        <v/>
      </c>
      <c r="P429" s="21" t="str">
        <f aca="false">IF($L429&lt;&gt;"Planned","",$K429*$D429*$N429*(1+$O429))</f>
        <v/>
      </c>
      <c r="Q429" s="21" t="str">
        <f aca="false">IF($L429&lt;&gt;"Planned","",$K429*$D429)</f>
        <v/>
      </c>
      <c r="R429" s="21" t="str">
        <f aca="false">IF($L429&lt;&gt;"Planned","",MAX(N($E429),$K429*$D429*$N429,$K429*N($G429)))</f>
        <v/>
      </c>
      <c r="S429" s="21" t="str">
        <f aca="false">IF($L429&lt;&gt;"Planned","",$P429)</f>
        <v/>
      </c>
      <c r="T429" s="21" t="str">
        <f aca="false">IF($L429&lt;&gt;"Planned","",$P429+$Q429)</f>
        <v/>
      </c>
      <c r="U429" s="21" t="str">
        <f aca="false">IF($L429&lt;&gt;"Planned","",$T429+$R429)</f>
        <v/>
      </c>
      <c r="V429" s="8" t="str">
        <f aca="false">IF($A429="","",SUMIFS('Open supply'!$C:$C,'Open supply'!$A:$A,$AF429))</f>
        <v/>
      </c>
      <c r="W429" s="8" t="str">
        <f aca="false">IF($A429="","",SUMIFS('Open supply'!$C:$C,'Open supply'!$A:$A,$AF429,'Open supply'!$B:$B,"&lt;"&amp;PlanDate))</f>
        <v/>
      </c>
      <c r="X429" s="8" t="str">
        <f aca="false">IF($A429="","",SUMIFS('Open demand'!$G:$G,'Open demand'!$A:$A,$AF429))</f>
        <v/>
      </c>
      <c r="Y429" s="8" t="str">
        <f aca="false">IF($L429&lt;&gt;"Planned","",N($H429)+$V429-$X429)</f>
        <v/>
      </c>
      <c r="Z429" s="19" t="str">
        <f aca="false">IF($L429&lt;&gt;"Planned","",IF($Y429&lt;=$S429,"Red",IF($Y429&lt;=$T429,"Yellow",IF($Y429&lt;=$U429,"Green","Above green"))))</f>
        <v/>
      </c>
      <c r="AA429" s="22" t="str">
        <f aca="false">IF(OR($L429&lt;&gt;"Planned",N($U429)&lt;=0),"",$Y429/$U429)</f>
        <v/>
      </c>
      <c r="AB429" s="8" t="str">
        <f aca="false">IF($L429&lt;&gt;"Planned","",IF($Y429&lt;=$T429,ROUNDUP(MAX($U429-$Y429,N($E429))/IF(N($F429)&gt;0,$F429,1)-0.000000001,0)*IF(N($F429)&gt;0,$F429,1),""))</f>
        <v/>
      </c>
      <c r="AC429" s="23" t="str">
        <f aca="false">IF(N($AB429)&gt;0,PlanDate+ROUNDUP($D429,0),"")</f>
        <v/>
      </c>
      <c r="AD429" s="19" t="str">
        <f aca="false">IF($L429&lt;&gt;"Planned","",IF(N($H429)&lt;=0,"Stockout",IF(N($H429)&lt;$S429*0.5,"Critical",IF(N($H429)&lt;=$S429,"Low",IF(N($H429)&gt;$U429,"Over top of green","OK")))))</f>
        <v/>
      </c>
      <c r="AE429" s="8" t="str">
        <f aca="false">IF($A429="","",$A429&amp;"")</f>
        <v/>
      </c>
      <c r="AF429" s="8" t="str">
        <f aca="false">IF($A429="","",SUBSTITUTE(SUBSTITUTE(SUBSTITUTE($A429&amp;"","~","~~"),"*","~*"),"?","~?"))</f>
        <v/>
      </c>
    </row>
    <row r="430" customFormat="false" ht="15" hidden="false" customHeight="false" outlineLevel="0" collapsed="false">
      <c r="A430" s="11"/>
      <c r="B430" s="11"/>
      <c r="C430" s="11"/>
      <c r="D430" s="16"/>
      <c r="E430" s="11"/>
      <c r="F430" s="11"/>
      <c r="G430" s="9"/>
      <c r="H430" s="11"/>
      <c r="I430" s="17"/>
      <c r="J430" s="18" t="str">
        <f aca="false">IF($A430="","",IF(COUNT(Usage!$C:$C)=0,"",MAX(0,SUMIFS(Usage!$C:$C,Usage!$A:$A,$AF430,Usage!$B:$B,"&gt;="&amp;(PlanDate-AduWindow),Usage!$B:$B,"&lt;"&amp;PlanDate))/AduWindow))</f>
        <v/>
      </c>
      <c r="K430" s="18" t="str">
        <f aca="false">IF($A430="","",IF(AND(ISNUMBER($I430),N($I430)&gt;=0),$I430,$J430))</f>
        <v/>
      </c>
      <c r="L430" s="19" t="str">
        <f aca="false">IF($A430="","",IF($K430="","Needs ADU",IF($K430&lt;=0,"No recent demand",IF(N($D430)&lt;=0,"Needs lead time","Planned"))))</f>
        <v/>
      </c>
      <c r="M430" s="8" t="str">
        <f aca="false">IF($A430="","",IF(ISNUMBER(MATCH($C430,Profiles!$A$2:$A$100,0)),$C430,DefaultProfile))</f>
        <v/>
      </c>
      <c r="N430" s="20" t="str">
        <f aca="false">IF($A430="","",INDEX(Profiles!$D$2:$D$100,MATCH($M430,Profiles!$A$2:$A$100,0)))</f>
        <v/>
      </c>
      <c r="O430" s="20" t="str">
        <f aca="false">IF($A430="","",INDEX(Profiles!$E$2:$E$100,MATCH($M430,Profiles!$A$2:$A$100,0)))</f>
        <v/>
      </c>
      <c r="P430" s="21" t="str">
        <f aca="false">IF($L430&lt;&gt;"Planned","",$K430*$D430*$N430*(1+$O430))</f>
        <v/>
      </c>
      <c r="Q430" s="21" t="str">
        <f aca="false">IF($L430&lt;&gt;"Planned","",$K430*$D430)</f>
        <v/>
      </c>
      <c r="R430" s="21" t="str">
        <f aca="false">IF($L430&lt;&gt;"Planned","",MAX(N($E430),$K430*$D430*$N430,$K430*N($G430)))</f>
        <v/>
      </c>
      <c r="S430" s="21" t="str">
        <f aca="false">IF($L430&lt;&gt;"Planned","",$P430)</f>
        <v/>
      </c>
      <c r="T430" s="21" t="str">
        <f aca="false">IF($L430&lt;&gt;"Planned","",$P430+$Q430)</f>
        <v/>
      </c>
      <c r="U430" s="21" t="str">
        <f aca="false">IF($L430&lt;&gt;"Planned","",$T430+$R430)</f>
        <v/>
      </c>
      <c r="V430" s="8" t="str">
        <f aca="false">IF($A430="","",SUMIFS('Open supply'!$C:$C,'Open supply'!$A:$A,$AF430))</f>
        <v/>
      </c>
      <c r="W430" s="8" t="str">
        <f aca="false">IF($A430="","",SUMIFS('Open supply'!$C:$C,'Open supply'!$A:$A,$AF430,'Open supply'!$B:$B,"&lt;"&amp;PlanDate))</f>
        <v/>
      </c>
      <c r="X430" s="8" t="str">
        <f aca="false">IF($A430="","",SUMIFS('Open demand'!$G:$G,'Open demand'!$A:$A,$AF430))</f>
        <v/>
      </c>
      <c r="Y430" s="8" t="str">
        <f aca="false">IF($L430&lt;&gt;"Planned","",N($H430)+$V430-$X430)</f>
        <v/>
      </c>
      <c r="Z430" s="19" t="str">
        <f aca="false">IF($L430&lt;&gt;"Planned","",IF($Y430&lt;=$S430,"Red",IF($Y430&lt;=$T430,"Yellow",IF($Y430&lt;=$U430,"Green","Above green"))))</f>
        <v/>
      </c>
      <c r="AA430" s="22" t="str">
        <f aca="false">IF(OR($L430&lt;&gt;"Planned",N($U430)&lt;=0),"",$Y430/$U430)</f>
        <v/>
      </c>
      <c r="AB430" s="8" t="str">
        <f aca="false">IF($L430&lt;&gt;"Planned","",IF($Y430&lt;=$T430,ROUNDUP(MAX($U430-$Y430,N($E430))/IF(N($F430)&gt;0,$F430,1)-0.000000001,0)*IF(N($F430)&gt;0,$F430,1),""))</f>
        <v/>
      </c>
      <c r="AC430" s="23" t="str">
        <f aca="false">IF(N($AB430)&gt;0,PlanDate+ROUNDUP($D430,0),"")</f>
        <v/>
      </c>
      <c r="AD430" s="19" t="str">
        <f aca="false">IF($L430&lt;&gt;"Planned","",IF(N($H430)&lt;=0,"Stockout",IF(N($H430)&lt;$S430*0.5,"Critical",IF(N($H430)&lt;=$S430,"Low",IF(N($H430)&gt;$U430,"Over top of green","OK")))))</f>
        <v/>
      </c>
      <c r="AE430" s="8" t="str">
        <f aca="false">IF($A430="","",$A430&amp;"")</f>
        <v/>
      </c>
      <c r="AF430" s="8" t="str">
        <f aca="false">IF($A430="","",SUBSTITUTE(SUBSTITUTE(SUBSTITUTE($A430&amp;"","~","~~"),"*","~*"),"?","~?"))</f>
        <v/>
      </c>
    </row>
    <row r="431" customFormat="false" ht="15" hidden="false" customHeight="false" outlineLevel="0" collapsed="false">
      <c r="A431" s="11"/>
      <c r="B431" s="11"/>
      <c r="C431" s="11"/>
      <c r="D431" s="16"/>
      <c r="E431" s="11"/>
      <c r="F431" s="11"/>
      <c r="G431" s="9"/>
      <c r="H431" s="11"/>
      <c r="I431" s="17"/>
      <c r="J431" s="18" t="str">
        <f aca="false">IF($A431="","",IF(COUNT(Usage!$C:$C)=0,"",MAX(0,SUMIFS(Usage!$C:$C,Usage!$A:$A,$AF431,Usage!$B:$B,"&gt;="&amp;(PlanDate-AduWindow),Usage!$B:$B,"&lt;"&amp;PlanDate))/AduWindow))</f>
        <v/>
      </c>
      <c r="K431" s="18" t="str">
        <f aca="false">IF($A431="","",IF(AND(ISNUMBER($I431),N($I431)&gt;=0),$I431,$J431))</f>
        <v/>
      </c>
      <c r="L431" s="19" t="str">
        <f aca="false">IF($A431="","",IF($K431="","Needs ADU",IF($K431&lt;=0,"No recent demand",IF(N($D431)&lt;=0,"Needs lead time","Planned"))))</f>
        <v/>
      </c>
      <c r="M431" s="8" t="str">
        <f aca="false">IF($A431="","",IF(ISNUMBER(MATCH($C431,Profiles!$A$2:$A$100,0)),$C431,DefaultProfile))</f>
        <v/>
      </c>
      <c r="N431" s="20" t="str">
        <f aca="false">IF($A431="","",INDEX(Profiles!$D$2:$D$100,MATCH($M431,Profiles!$A$2:$A$100,0)))</f>
        <v/>
      </c>
      <c r="O431" s="20" t="str">
        <f aca="false">IF($A431="","",INDEX(Profiles!$E$2:$E$100,MATCH($M431,Profiles!$A$2:$A$100,0)))</f>
        <v/>
      </c>
      <c r="P431" s="21" t="str">
        <f aca="false">IF($L431&lt;&gt;"Planned","",$K431*$D431*$N431*(1+$O431))</f>
        <v/>
      </c>
      <c r="Q431" s="21" t="str">
        <f aca="false">IF($L431&lt;&gt;"Planned","",$K431*$D431)</f>
        <v/>
      </c>
      <c r="R431" s="21" t="str">
        <f aca="false">IF($L431&lt;&gt;"Planned","",MAX(N($E431),$K431*$D431*$N431,$K431*N($G431)))</f>
        <v/>
      </c>
      <c r="S431" s="21" t="str">
        <f aca="false">IF($L431&lt;&gt;"Planned","",$P431)</f>
        <v/>
      </c>
      <c r="T431" s="21" t="str">
        <f aca="false">IF($L431&lt;&gt;"Planned","",$P431+$Q431)</f>
        <v/>
      </c>
      <c r="U431" s="21" t="str">
        <f aca="false">IF($L431&lt;&gt;"Planned","",$T431+$R431)</f>
        <v/>
      </c>
      <c r="V431" s="8" t="str">
        <f aca="false">IF($A431="","",SUMIFS('Open supply'!$C:$C,'Open supply'!$A:$A,$AF431))</f>
        <v/>
      </c>
      <c r="W431" s="8" t="str">
        <f aca="false">IF($A431="","",SUMIFS('Open supply'!$C:$C,'Open supply'!$A:$A,$AF431,'Open supply'!$B:$B,"&lt;"&amp;PlanDate))</f>
        <v/>
      </c>
      <c r="X431" s="8" t="str">
        <f aca="false">IF($A431="","",SUMIFS('Open demand'!$G:$G,'Open demand'!$A:$A,$AF431))</f>
        <v/>
      </c>
      <c r="Y431" s="8" t="str">
        <f aca="false">IF($L431&lt;&gt;"Planned","",N($H431)+$V431-$X431)</f>
        <v/>
      </c>
      <c r="Z431" s="19" t="str">
        <f aca="false">IF($L431&lt;&gt;"Planned","",IF($Y431&lt;=$S431,"Red",IF($Y431&lt;=$T431,"Yellow",IF($Y431&lt;=$U431,"Green","Above green"))))</f>
        <v/>
      </c>
      <c r="AA431" s="22" t="str">
        <f aca="false">IF(OR($L431&lt;&gt;"Planned",N($U431)&lt;=0),"",$Y431/$U431)</f>
        <v/>
      </c>
      <c r="AB431" s="8" t="str">
        <f aca="false">IF($L431&lt;&gt;"Planned","",IF($Y431&lt;=$T431,ROUNDUP(MAX($U431-$Y431,N($E431))/IF(N($F431)&gt;0,$F431,1)-0.000000001,0)*IF(N($F431)&gt;0,$F431,1),""))</f>
        <v/>
      </c>
      <c r="AC431" s="23" t="str">
        <f aca="false">IF(N($AB431)&gt;0,PlanDate+ROUNDUP($D431,0),"")</f>
        <v/>
      </c>
      <c r="AD431" s="19" t="str">
        <f aca="false">IF($L431&lt;&gt;"Planned","",IF(N($H431)&lt;=0,"Stockout",IF(N($H431)&lt;$S431*0.5,"Critical",IF(N($H431)&lt;=$S431,"Low",IF(N($H431)&gt;$U431,"Over top of green","OK")))))</f>
        <v/>
      </c>
      <c r="AE431" s="8" t="str">
        <f aca="false">IF($A431="","",$A431&amp;"")</f>
        <v/>
      </c>
      <c r="AF431" s="8" t="str">
        <f aca="false">IF($A431="","",SUBSTITUTE(SUBSTITUTE(SUBSTITUTE($A431&amp;"","~","~~"),"*","~*"),"?","~?"))</f>
        <v/>
      </c>
    </row>
    <row r="432" customFormat="false" ht="15" hidden="false" customHeight="false" outlineLevel="0" collapsed="false">
      <c r="A432" s="11"/>
      <c r="B432" s="11"/>
      <c r="C432" s="11"/>
      <c r="D432" s="16"/>
      <c r="E432" s="11"/>
      <c r="F432" s="11"/>
      <c r="G432" s="9"/>
      <c r="H432" s="11"/>
      <c r="I432" s="17"/>
      <c r="J432" s="18" t="str">
        <f aca="false">IF($A432="","",IF(COUNT(Usage!$C:$C)=0,"",MAX(0,SUMIFS(Usage!$C:$C,Usage!$A:$A,$AF432,Usage!$B:$B,"&gt;="&amp;(PlanDate-AduWindow),Usage!$B:$B,"&lt;"&amp;PlanDate))/AduWindow))</f>
        <v/>
      </c>
      <c r="K432" s="18" t="str">
        <f aca="false">IF($A432="","",IF(AND(ISNUMBER($I432),N($I432)&gt;=0),$I432,$J432))</f>
        <v/>
      </c>
      <c r="L432" s="19" t="str">
        <f aca="false">IF($A432="","",IF($K432="","Needs ADU",IF($K432&lt;=0,"No recent demand",IF(N($D432)&lt;=0,"Needs lead time","Planned"))))</f>
        <v/>
      </c>
      <c r="M432" s="8" t="str">
        <f aca="false">IF($A432="","",IF(ISNUMBER(MATCH($C432,Profiles!$A$2:$A$100,0)),$C432,DefaultProfile))</f>
        <v/>
      </c>
      <c r="N432" s="20" t="str">
        <f aca="false">IF($A432="","",INDEX(Profiles!$D$2:$D$100,MATCH($M432,Profiles!$A$2:$A$100,0)))</f>
        <v/>
      </c>
      <c r="O432" s="20" t="str">
        <f aca="false">IF($A432="","",INDEX(Profiles!$E$2:$E$100,MATCH($M432,Profiles!$A$2:$A$100,0)))</f>
        <v/>
      </c>
      <c r="P432" s="21" t="str">
        <f aca="false">IF($L432&lt;&gt;"Planned","",$K432*$D432*$N432*(1+$O432))</f>
        <v/>
      </c>
      <c r="Q432" s="21" t="str">
        <f aca="false">IF($L432&lt;&gt;"Planned","",$K432*$D432)</f>
        <v/>
      </c>
      <c r="R432" s="21" t="str">
        <f aca="false">IF($L432&lt;&gt;"Planned","",MAX(N($E432),$K432*$D432*$N432,$K432*N($G432)))</f>
        <v/>
      </c>
      <c r="S432" s="21" t="str">
        <f aca="false">IF($L432&lt;&gt;"Planned","",$P432)</f>
        <v/>
      </c>
      <c r="T432" s="21" t="str">
        <f aca="false">IF($L432&lt;&gt;"Planned","",$P432+$Q432)</f>
        <v/>
      </c>
      <c r="U432" s="21" t="str">
        <f aca="false">IF($L432&lt;&gt;"Planned","",$T432+$R432)</f>
        <v/>
      </c>
      <c r="V432" s="8" t="str">
        <f aca="false">IF($A432="","",SUMIFS('Open supply'!$C:$C,'Open supply'!$A:$A,$AF432))</f>
        <v/>
      </c>
      <c r="W432" s="8" t="str">
        <f aca="false">IF($A432="","",SUMIFS('Open supply'!$C:$C,'Open supply'!$A:$A,$AF432,'Open supply'!$B:$B,"&lt;"&amp;PlanDate))</f>
        <v/>
      </c>
      <c r="X432" s="8" t="str">
        <f aca="false">IF($A432="","",SUMIFS('Open demand'!$G:$G,'Open demand'!$A:$A,$AF432))</f>
        <v/>
      </c>
      <c r="Y432" s="8" t="str">
        <f aca="false">IF($L432&lt;&gt;"Planned","",N($H432)+$V432-$X432)</f>
        <v/>
      </c>
      <c r="Z432" s="19" t="str">
        <f aca="false">IF($L432&lt;&gt;"Planned","",IF($Y432&lt;=$S432,"Red",IF($Y432&lt;=$T432,"Yellow",IF($Y432&lt;=$U432,"Green","Above green"))))</f>
        <v/>
      </c>
      <c r="AA432" s="22" t="str">
        <f aca="false">IF(OR($L432&lt;&gt;"Planned",N($U432)&lt;=0),"",$Y432/$U432)</f>
        <v/>
      </c>
      <c r="AB432" s="8" t="str">
        <f aca="false">IF($L432&lt;&gt;"Planned","",IF($Y432&lt;=$T432,ROUNDUP(MAX($U432-$Y432,N($E432))/IF(N($F432)&gt;0,$F432,1)-0.000000001,0)*IF(N($F432)&gt;0,$F432,1),""))</f>
        <v/>
      </c>
      <c r="AC432" s="23" t="str">
        <f aca="false">IF(N($AB432)&gt;0,PlanDate+ROUNDUP($D432,0),"")</f>
        <v/>
      </c>
      <c r="AD432" s="19" t="str">
        <f aca="false">IF($L432&lt;&gt;"Planned","",IF(N($H432)&lt;=0,"Stockout",IF(N($H432)&lt;$S432*0.5,"Critical",IF(N($H432)&lt;=$S432,"Low",IF(N($H432)&gt;$U432,"Over top of green","OK")))))</f>
        <v/>
      </c>
      <c r="AE432" s="8" t="str">
        <f aca="false">IF($A432="","",$A432&amp;"")</f>
        <v/>
      </c>
      <c r="AF432" s="8" t="str">
        <f aca="false">IF($A432="","",SUBSTITUTE(SUBSTITUTE(SUBSTITUTE($A432&amp;"","~","~~"),"*","~*"),"?","~?"))</f>
        <v/>
      </c>
    </row>
    <row r="433" customFormat="false" ht="15" hidden="false" customHeight="false" outlineLevel="0" collapsed="false">
      <c r="A433" s="11"/>
      <c r="B433" s="11"/>
      <c r="C433" s="11"/>
      <c r="D433" s="16"/>
      <c r="E433" s="11"/>
      <c r="F433" s="11"/>
      <c r="G433" s="9"/>
      <c r="H433" s="11"/>
      <c r="I433" s="17"/>
      <c r="J433" s="18" t="str">
        <f aca="false">IF($A433="","",IF(COUNT(Usage!$C:$C)=0,"",MAX(0,SUMIFS(Usage!$C:$C,Usage!$A:$A,$AF433,Usage!$B:$B,"&gt;="&amp;(PlanDate-AduWindow),Usage!$B:$B,"&lt;"&amp;PlanDate))/AduWindow))</f>
        <v/>
      </c>
      <c r="K433" s="18" t="str">
        <f aca="false">IF($A433="","",IF(AND(ISNUMBER($I433),N($I433)&gt;=0),$I433,$J433))</f>
        <v/>
      </c>
      <c r="L433" s="19" t="str">
        <f aca="false">IF($A433="","",IF($K433="","Needs ADU",IF($K433&lt;=0,"No recent demand",IF(N($D433)&lt;=0,"Needs lead time","Planned"))))</f>
        <v/>
      </c>
      <c r="M433" s="8" t="str">
        <f aca="false">IF($A433="","",IF(ISNUMBER(MATCH($C433,Profiles!$A$2:$A$100,0)),$C433,DefaultProfile))</f>
        <v/>
      </c>
      <c r="N433" s="20" t="str">
        <f aca="false">IF($A433="","",INDEX(Profiles!$D$2:$D$100,MATCH($M433,Profiles!$A$2:$A$100,0)))</f>
        <v/>
      </c>
      <c r="O433" s="20" t="str">
        <f aca="false">IF($A433="","",INDEX(Profiles!$E$2:$E$100,MATCH($M433,Profiles!$A$2:$A$100,0)))</f>
        <v/>
      </c>
      <c r="P433" s="21" t="str">
        <f aca="false">IF($L433&lt;&gt;"Planned","",$K433*$D433*$N433*(1+$O433))</f>
        <v/>
      </c>
      <c r="Q433" s="21" t="str">
        <f aca="false">IF($L433&lt;&gt;"Planned","",$K433*$D433)</f>
        <v/>
      </c>
      <c r="R433" s="21" t="str">
        <f aca="false">IF($L433&lt;&gt;"Planned","",MAX(N($E433),$K433*$D433*$N433,$K433*N($G433)))</f>
        <v/>
      </c>
      <c r="S433" s="21" t="str">
        <f aca="false">IF($L433&lt;&gt;"Planned","",$P433)</f>
        <v/>
      </c>
      <c r="T433" s="21" t="str">
        <f aca="false">IF($L433&lt;&gt;"Planned","",$P433+$Q433)</f>
        <v/>
      </c>
      <c r="U433" s="21" t="str">
        <f aca="false">IF($L433&lt;&gt;"Planned","",$T433+$R433)</f>
        <v/>
      </c>
      <c r="V433" s="8" t="str">
        <f aca="false">IF($A433="","",SUMIFS('Open supply'!$C:$C,'Open supply'!$A:$A,$AF433))</f>
        <v/>
      </c>
      <c r="W433" s="8" t="str">
        <f aca="false">IF($A433="","",SUMIFS('Open supply'!$C:$C,'Open supply'!$A:$A,$AF433,'Open supply'!$B:$B,"&lt;"&amp;PlanDate))</f>
        <v/>
      </c>
      <c r="X433" s="8" t="str">
        <f aca="false">IF($A433="","",SUMIFS('Open demand'!$G:$G,'Open demand'!$A:$A,$AF433))</f>
        <v/>
      </c>
      <c r="Y433" s="8" t="str">
        <f aca="false">IF($L433&lt;&gt;"Planned","",N($H433)+$V433-$X433)</f>
        <v/>
      </c>
      <c r="Z433" s="19" t="str">
        <f aca="false">IF($L433&lt;&gt;"Planned","",IF($Y433&lt;=$S433,"Red",IF($Y433&lt;=$T433,"Yellow",IF($Y433&lt;=$U433,"Green","Above green"))))</f>
        <v/>
      </c>
      <c r="AA433" s="22" t="str">
        <f aca="false">IF(OR($L433&lt;&gt;"Planned",N($U433)&lt;=0),"",$Y433/$U433)</f>
        <v/>
      </c>
      <c r="AB433" s="8" t="str">
        <f aca="false">IF($L433&lt;&gt;"Planned","",IF($Y433&lt;=$T433,ROUNDUP(MAX($U433-$Y433,N($E433))/IF(N($F433)&gt;0,$F433,1)-0.000000001,0)*IF(N($F433)&gt;0,$F433,1),""))</f>
        <v/>
      </c>
      <c r="AC433" s="23" t="str">
        <f aca="false">IF(N($AB433)&gt;0,PlanDate+ROUNDUP($D433,0),"")</f>
        <v/>
      </c>
      <c r="AD433" s="19" t="str">
        <f aca="false">IF($L433&lt;&gt;"Planned","",IF(N($H433)&lt;=0,"Stockout",IF(N($H433)&lt;$S433*0.5,"Critical",IF(N($H433)&lt;=$S433,"Low",IF(N($H433)&gt;$U433,"Over top of green","OK")))))</f>
        <v/>
      </c>
      <c r="AE433" s="8" t="str">
        <f aca="false">IF($A433="","",$A433&amp;"")</f>
        <v/>
      </c>
      <c r="AF433" s="8" t="str">
        <f aca="false">IF($A433="","",SUBSTITUTE(SUBSTITUTE(SUBSTITUTE($A433&amp;"","~","~~"),"*","~*"),"?","~?"))</f>
        <v/>
      </c>
    </row>
    <row r="434" customFormat="false" ht="15" hidden="false" customHeight="false" outlineLevel="0" collapsed="false">
      <c r="A434" s="11"/>
      <c r="B434" s="11"/>
      <c r="C434" s="11"/>
      <c r="D434" s="16"/>
      <c r="E434" s="11"/>
      <c r="F434" s="11"/>
      <c r="G434" s="9"/>
      <c r="H434" s="11"/>
      <c r="I434" s="17"/>
      <c r="J434" s="18" t="str">
        <f aca="false">IF($A434="","",IF(COUNT(Usage!$C:$C)=0,"",MAX(0,SUMIFS(Usage!$C:$C,Usage!$A:$A,$AF434,Usage!$B:$B,"&gt;="&amp;(PlanDate-AduWindow),Usage!$B:$B,"&lt;"&amp;PlanDate))/AduWindow))</f>
        <v/>
      </c>
      <c r="K434" s="18" t="str">
        <f aca="false">IF($A434="","",IF(AND(ISNUMBER($I434),N($I434)&gt;=0),$I434,$J434))</f>
        <v/>
      </c>
      <c r="L434" s="19" t="str">
        <f aca="false">IF($A434="","",IF($K434="","Needs ADU",IF($K434&lt;=0,"No recent demand",IF(N($D434)&lt;=0,"Needs lead time","Planned"))))</f>
        <v/>
      </c>
      <c r="M434" s="8" t="str">
        <f aca="false">IF($A434="","",IF(ISNUMBER(MATCH($C434,Profiles!$A$2:$A$100,0)),$C434,DefaultProfile))</f>
        <v/>
      </c>
      <c r="N434" s="20" t="str">
        <f aca="false">IF($A434="","",INDEX(Profiles!$D$2:$D$100,MATCH($M434,Profiles!$A$2:$A$100,0)))</f>
        <v/>
      </c>
      <c r="O434" s="20" t="str">
        <f aca="false">IF($A434="","",INDEX(Profiles!$E$2:$E$100,MATCH($M434,Profiles!$A$2:$A$100,0)))</f>
        <v/>
      </c>
      <c r="P434" s="21" t="str">
        <f aca="false">IF($L434&lt;&gt;"Planned","",$K434*$D434*$N434*(1+$O434))</f>
        <v/>
      </c>
      <c r="Q434" s="21" t="str">
        <f aca="false">IF($L434&lt;&gt;"Planned","",$K434*$D434)</f>
        <v/>
      </c>
      <c r="R434" s="21" t="str">
        <f aca="false">IF($L434&lt;&gt;"Planned","",MAX(N($E434),$K434*$D434*$N434,$K434*N($G434)))</f>
        <v/>
      </c>
      <c r="S434" s="21" t="str">
        <f aca="false">IF($L434&lt;&gt;"Planned","",$P434)</f>
        <v/>
      </c>
      <c r="T434" s="21" t="str">
        <f aca="false">IF($L434&lt;&gt;"Planned","",$P434+$Q434)</f>
        <v/>
      </c>
      <c r="U434" s="21" t="str">
        <f aca="false">IF($L434&lt;&gt;"Planned","",$T434+$R434)</f>
        <v/>
      </c>
      <c r="V434" s="8" t="str">
        <f aca="false">IF($A434="","",SUMIFS('Open supply'!$C:$C,'Open supply'!$A:$A,$AF434))</f>
        <v/>
      </c>
      <c r="W434" s="8" t="str">
        <f aca="false">IF($A434="","",SUMIFS('Open supply'!$C:$C,'Open supply'!$A:$A,$AF434,'Open supply'!$B:$B,"&lt;"&amp;PlanDate))</f>
        <v/>
      </c>
      <c r="X434" s="8" t="str">
        <f aca="false">IF($A434="","",SUMIFS('Open demand'!$G:$G,'Open demand'!$A:$A,$AF434))</f>
        <v/>
      </c>
      <c r="Y434" s="8" t="str">
        <f aca="false">IF($L434&lt;&gt;"Planned","",N($H434)+$V434-$X434)</f>
        <v/>
      </c>
      <c r="Z434" s="19" t="str">
        <f aca="false">IF($L434&lt;&gt;"Planned","",IF($Y434&lt;=$S434,"Red",IF($Y434&lt;=$T434,"Yellow",IF($Y434&lt;=$U434,"Green","Above green"))))</f>
        <v/>
      </c>
      <c r="AA434" s="22" t="str">
        <f aca="false">IF(OR($L434&lt;&gt;"Planned",N($U434)&lt;=0),"",$Y434/$U434)</f>
        <v/>
      </c>
      <c r="AB434" s="8" t="str">
        <f aca="false">IF($L434&lt;&gt;"Planned","",IF($Y434&lt;=$T434,ROUNDUP(MAX($U434-$Y434,N($E434))/IF(N($F434)&gt;0,$F434,1)-0.000000001,0)*IF(N($F434)&gt;0,$F434,1),""))</f>
        <v/>
      </c>
      <c r="AC434" s="23" t="str">
        <f aca="false">IF(N($AB434)&gt;0,PlanDate+ROUNDUP($D434,0),"")</f>
        <v/>
      </c>
      <c r="AD434" s="19" t="str">
        <f aca="false">IF($L434&lt;&gt;"Planned","",IF(N($H434)&lt;=0,"Stockout",IF(N($H434)&lt;$S434*0.5,"Critical",IF(N($H434)&lt;=$S434,"Low",IF(N($H434)&gt;$U434,"Over top of green","OK")))))</f>
        <v/>
      </c>
      <c r="AE434" s="8" t="str">
        <f aca="false">IF($A434="","",$A434&amp;"")</f>
        <v/>
      </c>
      <c r="AF434" s="8" t="str">
        <f aca="false">IF($A434="","",SUBSTITUTE(SUBSTITUTE(SUBSTITUTE($A434&amp;"","~","~~"),"*","~*"),"?","~?"))</f>
        <v/>
      </c>
    </row>
    <row r="435" customFormat="false" ht="15" hidden="false" customHeight="false" outlineLevel="0" collapsed="false">
      <c r="A435" s="11"/>
      <c r="B435" s="11"/>
      <c r="C435" s="11"/>
      <c r="D435" s="16"/>
      <c r="E435" s="11"/>
      <c r="F435" s="11"/>
      <c r="G435" s="9"/>
      <c r="H435" s="11"/>
      <c r="I435" s="17"/>
      <c r="J435" s="18" t="str">
        <f aca="false">IF($A435="","",IF(COUNT(Usage!$C:$C)=0,"",MAX(0,SUMIFS(Usage!$C:$C,Usage!$A:$A,$AF435,Usage!$B:$B,"&gt;="&amp;(PlanDate-AduWindow),Usage!$B:$B,"&lt;"&amp;PlanDate))/AduWindow))</f>
        <v/>
      </c>
      <c r="K435" s="18" t="str">
        <f aca="false">IF($A435="","",IF(AND(ISNUMBER($I435),N($I435)&gt;=0),$I435,$J435))</f>
        <v/>
      </c>
      <c r="L435" s="19" t="str">
        <f aca="false">IF($A435="","",IF($K435="","Needs ADU",IF($K435&lt;=0,"No recent demand",IF(N($D435)&lt;=0,"Needs lead time","Planned"))))</f>
        <v/>
      </c>
      <c r="M435" s="8" t="str">
        <f aca="false">IF($A435="","",IF(ISNUMBER(MATCH($C435,Profiles!$A$2:$A$100,0)),$C435,DefaultProfile))</f>
        <v/>
      </c>
      <c r="N435" s="20" t="str">
        <f aca="false">IF($A435="","",INDEX(Profiles!$D$2:$D$100,MATCH($M435,Profiles!$A$2:$A$100,0)))</f>
        <v/>
      </c>
      <c r="O435" s="20" t="str">
        <f aca="false">IF($A435="","",INDEX(Profiles!$E$2:$E$100,MATCH($M435,Profiles!$A$2:$A$100,0)))</f>
        <v/>
      </c>
      <c r="P435" s="21" t="str">
        <f aca="false">IF($L435&lt;&gt;"Planned","",$K435*$D435*$N435*(1+$O435))</f>
        <v/>
      </c>
      <c r="Q435" s="21" t="str">
        <f aca="false">IF($L435&lt;&gt;"Planned","",$K435*$D435)</f>
        <v/>
      </c>
      <c r="R435" s="21" t="str">
        <f aca="false">IF($L435&lt;&gt;"Planned","",MAX(N($E435),$K435*$D435*$N435,$K435*N($G435)))</f>
        <v/>
      </c>
      <c r="S435" s="21" t="str">
        <f aca="false">IF($L435&lt;&gt;"Planned","",$P435)</f>
        <v/>
      </c>
      <c r="T435" s="21" t="str">
        <f aca="false">IF($L435&lt;&gt;"Planned","",$P435+$Q435)</f>
        <v/>
      </c>
      <c r="U435" s="21" t="str">
        <f aca="false">IF($L435&lt;&gt;"Planned","",$T435+$R435)</f>
        <v/>
      </c>
      <c r="V435" s="8" t="str">
        <f aca="false">IF($A435="","",SUMIFS('Open supply'!$C:$C,'Open supply'!$A:$A,$AF435))</f>
        <v/>
      </c>
      <c r="W435" s="8" t="str">
        <f aca="false">IF($A435="","",SUMIFS('Open supply'!$C:$C,'Open supply'!$A:$A,$AF435,'Open supply'!$B:$B,"&lt;"&amp;PlanDate))</f>
        <v/>
      </c>
      <c r="X435" s="8" t="str">
        <f aca="false">IF($A435="","",SUMIFS('Open demand'!$G:$G,'Open demand'!$A:$A,$AF435))</f>
        <v/>
      </c>
      <c r="Y435" s="8" t="str">
        <f aca="false">IF($L435&lt;&gt;"Planned","",N($H435)+$V435-$X435)</f>
        <v/>
      </c>
      <c r="Z435" s="19" t="str">
        <f aca="false">IF($L435&lt;&gt;"Planned","",IF($Y435&lt;=$S435,"Red",IF($Y435&lt;=$T435,"Yellow",IF($Y435&lt;=$U435,"Green","Above green"))))</f>
        <v/>
      </c>
      <c r="AA435" s="22" t="str">
        <f aca="false">IF(OR($L435&lt;&gt;"Planned",N($U435)&lt;=0),"",$Y435/$U435)</f>
        <v/>
      </c>
      <c r="AB435" s="8" t="str">
        <f aca="false">IF($L435&lt;&gt;"Planned","",IF($Y435&lt;=$T435,ROUNDUP(MAX($U435-$Y435,N($E435))/IF(N($F435)&gt;0,$F435,1)-0.000000001,0)*IF(N($F435)&gt;0,$F435,1),""))</f>
        <v/>
      </c>
      <c r="AC435" s="23" t="str">
        <f aca="false">IF(N($AB435)&gt;0,PlanDate+ROUNDUP($D435,0),"")</f>
        <v/>
      </c>
      <c r="AD435" s="19" t="str">
        <f aca="false">IF($L435&lt;&gt;"Planned","",IF(N($H435)&lt;=0,"Stockout",IF(N($H435)&lt;$S435*0.5,"Critical",IF(N($H435)&lt;=$S435,"Low",IF(N($H435)&gt;$U435,"Over top of green","OK")))))</f>
        <v/>
      </c>
      <c r="AE435" s="8" t="str">
        <f aca="false">IF($A435="","",$A435&amp;"")</f>
        <v/>
      </c>
      <c r="AF435" s="8" t="str">
        <f aca="false">IF($A435="","",SUBSTITUTE(SUBSTITUTE(SUBSTITUTE($A435&amp;"","~","~~"),"*","~*"),"?","~?"))</f>
        <v/>
      </c>
    </row>
    <row r="436" customFormat="false" ht="15" hidden="false" customHeight="false" outlineLevel="0" collapsed="false">
      <c r="A436" s="11"/>
      <c r="B436" s="11"/>
      <c r="C436" s="11"/>
      <c r="D436" s="16"/>
      <c r="E436" s="11"/>
      <c r="F436" s="11"/>
      <c r="G436" s="9"/>
      <c r="H436" s="11"/>
      <c r="I436" s="17"/>
      <c r="J436" s="18" t="str">
        <f aca="false">IF($A436="","",IF(COUNT(Usage!$C:$C)=0,"",MAX(0,SUMIFS(Usage!$C:$C,Usage!$A:$A,$AF436,Usage!$B:$B,"&gt;="&amp;(PlanDate-AduWindow),Usage!$B:$B,"&lt;"&amp;PlanDate))/AduWindow))</f>
        <v/>
      </c>
      <c r="K436" s="18" t="str">
        <f aca="false">IF($A436="","",IF(AND(ISNUMBER($I436),N($I436)&gt;=0),$I436,$J436))</f>
        <v/>
      </c>
      <c r="L436" s="19" t="str">
        <f aca="false">IF($A436="","",IF($K436="","Needs ADU",IF($K436&lt;=0,"No recent demand",IF(N($D436)&lt;=0,"Needs lead time","Planned"))))</f>
        <v/>
      </c>
      <c r="M436" s="8" t="str">
        <f aca="false">IF($A436="","",IF(ISNUMBER(MATCH($C436,Profiles!$A$2:$A$100,0)),$C436,DefaultProfile))</f>
        <v/>
      </c>
      <c r="N436" s="20" t="str">
        <f aca="false">IF($A436="","",INDEX(Profiles!$D$2:$D$100,MATCH($M436,Profiles!$A$2:$A$100,0)))</f>
        <v/>
      </c>
      <c r="O436" s="20" t="str">
        <f aca="false">IF($A436="","",INDEX(Profiles!$E$2:$E$100,MATCH($M436,Profiles!$A$2:$A$100,0)))</f>
        <v/>
      </c>
      <c r="P436" s="21" t="str">
        <f aca="false">IF($L436&lt;&gt;"Planned","",$K436*$D436*$N436*(1+$O436))</f>
        <v/>
      </c>
      <c r="Q436" s="21" t="str">
        <f aca="false">IF($L436&lt;&gt;"Planned","",$K436*$D436)</f>
        <v/>
      </c>
      <c r="R436" s="21" t="str">
        <f aca="false">IF($L436&lt;&gt;"Planned","",MAX(N($E436),$K436*$D436*$N436,$K436*N($G436)))</f>
        <v/>
      </c>
      <c r="S436" s="21" t="str">
        <f aca="false">IF($L436&lt;&gt;"Planned","",$P436)</f>
        <v/>
      </c>
      <c r="T436" s="21" t="str">
        <f aca="false">IF($L436&lt;&gt;"Planned","",$P436+$Q436)</f>
        <v/>
      </c>
      <c r="U436" s="21" t="str">
        <f aca="false">IF($L436&lt;&gt;"Planned","",$T436+$R436)</f>
        <v/>
      </c>
      <c r="V436" s="8" t="str">
        <f aca="false">IF($A436="","",SUMIFS('Open supply'!$C:$C,'Open supply'!$A:$A,$AF436))</f>
        <v/>
      </c>
      <c r="W436" s="8" t="str">
        <f aca="false">IF($A436="","",SUMIFS('Open supply'!$C:$C,'Open supply'!$A:$A,$AF436,'Open supply'!$B:$B,"&lt;"&amp;PlanDate))</f>
        <v/>
      </c>
      <c r="X436" s="8" t="str">
        <f aca="false">IF($A436="","",SUMIFS('Open demand'!$G:$G,'Open demand'!$A:$A,$AF436))</f>
        <v/>
      </c>
      <c r="Y436" s="8" t="str">
        <f aca="false">IF($L436&lt;&gt;"Planned","",N($H436)+$V436-$X436)</f>
        <v/>
      </c>
      <c r="Z436" s="19" t="str">
        <f aca="false">IF($L436&lt;&gt;"Planned","",IF($Y436&lt;=$S436,"Red",IF($Y436&lt;=$T436,"Yellow",IF($Y436&lt;=$U436,"Green","Above green"))))</f>
        <v/>
      </c>
      <c r="AA436" s="22" t="str">
        <f aca="false">IF(OR($L436&lt;&gt;"Planned",N($U436)&lt;=0),"",$Y436/$U436)</f>
        <v/>
      </c>
      <c r="AB436" s="8" t="str">
        <f aca="false">IF($L436&lt;&gt;"Planned","",IF($Y436&lt;=$T436,ROUNDUP(MAX($U436-$Y436,N($E436))/IF(N($F436)&gt;0,$F436,1)-0.000000001,0)*IF(N($F436)&gt;0,$F436,1),""))</f>
        <v/>
      </c>
      <c r="AC436" s="23" t="str">
        <f aca="false">IF(N($AB436)&gt;0,PlanDate+ROUNDUP($D436,0),"")</f>
        <v/>
      </c>
      <c r="AD436" s="19" t="str">
        <f aca="false">IF($L436&lt;&gt;"Planned","",IF(N($H436)&lt;=0,"Stockout",IF(N($H436)&lt;$S436*0.5,"Critical",IF(N($H436)&lt;=$S436,"Low",IF(N($H436)&gt;$U436,"Over top of green","OK")))))</f>
        <v/>
      </c>
      <c r="AE436" s="8" t="str">
        <f aca="false">IF($A436="","",$A436&amp;"")</f>
        <v/>
      </c>
      <c r="AF436" s="8" t="str">
        <f aca="false">IF($A436="","",SUBSTITUTE(SUBSTITUTE(SUBSTITUTE($A436&amp;"","~","~~"),"*","~*"),"?","~?"))</f>
        <v/>
      </c>
    </row>
    <row r="437" customFormat="false" ht="15" hidden="false" customHeight="false" outlineLevel="0" collapsed="false">
      <c r="A437" s="11"/>
      <c r="B437" s="11"/>
      <c r="C437" s="11"/>
      <c r="D437" s="16"/>
      <c r="E437" s="11"/>
      <c r="F437" s="11"/>
      <c r="G437" s="9"/>
      <c r="H437" s="11"/>
      <c r="I437" s="17"/>
      <c r="J437" s="18" t="str">
        <f aca="false">IF($A437="","",IF(COUNT(Usage!$C:$C)=0,"",MAX(0,SUMIFS(Usage!$C:$C,Usage!$A:$A,$AF437,Usage!$B:$B,"&gt;="&amp;(PlanDate-AduWindow),Usage!$B:$B,"&lt;"&amp;PlanDate))/AduWindow))</f>
        <v/>
      </c>
      <c r="K437" s="18" t="str">
        <f aca="false">IF($A437="","",IF(AND(ISNUMBER($I437),N($I437)&gt;=0),$I437,$J437))</f>
        <v/>
      </c>
      <c r="L437" s="19" t="str">
        <f aca="false">IF($A437="","",IF($K437="","Needs ADU",IF($K437&lt;=0,"No recent demand",IF(N($D437)&lt;=0,"Needs lead time","Planned"))))</f>
        <v/>
      </c>
      <c r="M437" s="8" t="str">
        <f aca="false">IF($A437="","",IF(ISNUMBER(MATCH($C437,Profiles!$A$2:$A$100,0)),$C437,DefaultProfile))</f>
        <v/>
      </c>
      <c r="N437" s="20" t="str">
        <f aca="false">IF($A437="","",INDEX(Profiles!$D$2:$D$100,MATCH($M437,Profiles!$A$2:$A$100,0)))</f>
        <v/>
      </c>
      <c r="O437" s="20" t="str">
        <f aca="false">IF($A437="","",INDEX(Profiles!$E$2:$E$100,MATCH($M437,Profiles!$A$2:$A$100,0)))</f>
        <v/>
      </c>
      <c r="P437" s="21" t="str">
        <f aca="false">IF($L437&lt;&gt;"Planned","",$K437*$D437*$N437*(1+$O437))</f>
        <v/>
      </c>
      <c r="Q437" s="21" t="str">
        <f aca="false">IF($L437&lt;&gt;"Planned","",$K437*$D437)</f>
        <v/>
      </c>
      <c r="R437" s="21" t="str">
        <f aca="false">IF($L437&lt;&gt;"Planned","",MAX(N($E437),$K437*$D437*$N437,$K437*N($G437)))</f>
        <v/>
      </c>
      <c r="S437" s="21" t="str">
        <f aca="false">IF($L437&lt;&gt;"Planned","",$P437)</f>
        <v/>
      </c>
      <c r="T437" s="21" t="str">
        <f aca="false">IF($L437&lt;&gt;"Planned","",$P437+$Q437)</f>
        <v/>
      </c>
      <c r="U437" s="21" t="str">
        <f aca="false">IF($L437&lt;&gt;"Planned","",$T437+$R437)</f>
        <v/>
      </c>
      <c r="V437" s="8" t="str">
        <f aca="false">IF($A437="","",SUMIFS('Open supply'!$C:$C,'Open supply'!$A:$A,$AF437))</f>
        <v/>
      </c>
      <c r="W437" s="8" t="str">
        <f aca="false">IF($A437="","",SUMIFS('Open supply'!$C:$C,'Open supply'!$A:$A,$AF437,'Open supply'!$B:$B,"&lt;"&amp;PlanDate))</f>
        <v/>
      </c>
      <c r="X437" s="8" t="str">
        <f aca="false">IF($A437="","",SUMIFS('Open demand'!$G:$G,'Open demand'!$A:$A,$AF437))</f>
        <v/>
      </c>
      <c r="Y437" s="8" t="str">
        <f aca="false">IF($L437&lt;&gt;"Planned","",N($H437)+$V437-$X437)</f>
        <v/>
      </c>
      <c r="Z437" s="19" t="str">
        <f aca="false">IF($L437&lt;&gt;"Planned","",IF($Y437&lt;=$S437,"Red",IF($Y437&lt;=$T437,"Yellow",IF($Y437&lt;=$U437,"Green","Above green"))))</f>
        <v/>
      </c>
      <c r="AA437" s="22" t="str">
        <f aca="false">IF(OR($L437&lt;&gt;"Planned",N($U437)&lt;=0),"",$Y437/$U437)</f>
        <v/>
      </c>
      <c r="AB437" s="8" t="str">
        <f aca="false">IF($L437&lt;&gt;"Planned","",IF($Y437&lt;=$T437,ROUNDUP(MAX($U437-$Y437,N($E437))/IF(N($F437)&gt;0,$F437,1)-0.000000001,0)*IF(N($F437)&gt;0,$F437,1),""))</f>
        <v/>
      </c>
      <c r="AC437" s="23" t="str">
        <f aca="false">IF(N($AB437)&gt;0,PlanDate+ROUNDUP($D437,0),"")</f>
        <v/>
      </c>
      <c r="AD437" s="19" t="str">
        <f aca="false">IF($L437&lt;&gt;"Planned","",IF(N($H437)&lt;=0,"Stockout",IF(N($H437)&lt;$S437*0.5,"Critical",IF(N($H437)&lt;=$S437,"Low",IF(N($H437)&gt;$U437,"Over top of green","OK")))))</f>
        <v/>
      </c>
      <c r="AE437" s="8" t="str">
        <f aca="false">IF($A437="","",$A437&amp;"")</f>
        <v/>
      </c>
      <c r="AF437" s="8" t="str">
        <f aca="false">IF($A437="","",SUBSTITUTE(SUBSTITUTE(SUBSTITUTE($A437&amp;"","~","~~"),"*","~*"),"?","~?"))</f>
        <v/>
      </c>
    </row>
    <row r="438" customFormat="false" ht="15" hidden="false" customHeight="false" outlineLevel="0" collapsed="false">
      <c r="A438" s="11"/>
      <c r="B438" s="11"/>
      <c r="C438" s="11"/>
      <c r="D438" s="16"/>
      <c r="E438" s="11"/>
      <c r="F438" s="11"/>
      <c r="G438" s="9"/>
      <c r="H438" s="11"/>
      <c r="I438" s="17"/>
      <c r="J438" s="18" t="str">
        <f aca="false">IF($A438="","",IF(COUNT(Usage!$C:$C)=0,"",MAX(0,SUMIFS(Usage!$C:$C,Usage!$A:$A,$AF438,Usage!$B:$B,"&gt;="&amp;(PlanDate-AduWindow),Usage!$B:$B,"&lt;"&amp;PlanDate))/AduWindow))</f>
        <v/>
      </c>
      <c r="K438" s="18" t="str">
        <f aca="false">IF($A438="","",IF(AND(ISNUMBER($I438),N($I438)&gt;=0),$I438,$J438))</f>
        <v/>
      </c>
      <c r="L438" s="19" t="str">
        <f aca="false">IF($A438="","",IF($K438="","Needs ADU",IF($K438&lt;=0,"No recent demand",IF(N($D438)&lt;=0,"Needs lead time","Planned"))))</f>
        <v/>
      </c>
      <c r="M438" s="8" t="str">
        <f aca="false">IF($A438="","",IF(ISNUMBER(MATCH($C438,Profiles!$A$2:$A$100,0)),$C438,DefaultProfile))</f>
        <v/>
      </c>
      <c r="N438" s="20" t="str">
        <f aca="false">IF($A438="","",INDEX(Profiles!$D$2:$D$100,MATCH($M438,Profiles!$A$2:$A$100,0)))</f>
        <v/>
      </c>
      <c r="O438" s="20" t="str">
        <f aca="false">IF($A438="","",INDEX(Profiles!$E$2:$E$100,MATCH($M438,Profiles!$A$2:$A$100,0)))</f>
        <v/>
      </c>
      <c r="P438" s="21" t="str">
        <f aca="false">IF($L438&lt;&gt;"Planned","",$K438*$D438*$N438*(1+$O438))</f>
        <v/>
      </c>
      <c r="Q438" s="21" t="str">
        <f aca="false">IF($L438&lt;&gt;"Planned","",$K438*$D438)</f>
        <v/>
      </c>
      <c r="R438" s="21" t="str">
        <f aca="false">IF($L438&lt;&gt;"Planned","",MAX(N($E438),$K438*$D438*$N438,$K438*N($G438)))</f>
        <v/>
      </c>
      <c r="S438" s="21" t="str">
        <f aca="false">IF($L438&lt;&gt;"Planned","",$P438)</f>
        <v/>
      </c>
      <c r="T438" s="21" t="str">
        <f aca="false">IF($L438&lt;&gt;"Planned","",$P438+$Q438)</f>
        <v/>
      </c>
      <c r="U438" s="21" t="str">
        <f aca="false">IF($L438&lt;&gt;"Planned","",$T438+$R438)</f>
        <v/>
      </c>
      <c r="V438" s="8" t="str">
        <f aca="false">IF($A438="","",SUMIFS('Open supply'!$C:$C,'Open supply'!$A:$A,$AF438))</f>
        <v/>
      </c>
      <c r="W438" s="8" t="str">
        <f aca="false">IF($A438="","",SUMIFS('Open supply'!$C:$C,'Open supply'!$A:$A,$AF438,'Open supply'!$B:$B,"&lt;"&amp;PlanDate))</f>
        <v/>
      </c>
      <c r="X438" s="8" t="str">
        <f aca="false">IF($A438="","",SUMIFS('Open demand'!$G:$G,'Open demand'!$A:$A,$AF438))</f>
        <v/>
      </c>
      <c r="Y438" s="8" t="str">
        <f aca="false">IF($L438&lt;&gt;"Planned","",N($H438)+$V438-$X438)</f>
        <v/>
      </c>
      <c r="Z438" s="19" t="str">
        <f aca="false">IF($L438&lt;&gt;"Planned","",IF($Y438&lt;=$S438,"Red",IF($Y438&lt;=$T438,"Yellow",IF($Y438&lt;=$U438,"Green","Above green"))))</f>
        <v/>
      </c>
      <c r="AA438" s="22" t="str">
        <f aca="false">IF(OR($L438&lt;&gt;"Planned",N($U438)&lt;=0),"",$Y438/$U438)</f>
        <v/>
      </c>
      <c r="AB438" s="8" t="str">
        <f aca="false">IF($L438&lt;&gt;"Planned","",IF($Y438&lt;=$T438,ROUNDUP(MAX($U438-$Y438,N($E438))/IF(N($F438)&gt;0,$F438,1)-0.000000001,0)*IF(N($F438)&gt;0,$F438,1),""))</f>
        <v/>
      </c>
      <c r="AC438" s="23" t="str">
        <f aca="false">IF(N($AB438)&gt;0,PlanDate+ROUNDUP($D438,0),"")</f>
        <v/>
      </c>
      <c r="AD438" s="19" t="str">
        <f aca="false">IF($L438&lt;&gt;"Planned","",IF(N($H438)&lt;=0,"Stockout",IF(N($H438)&lt;$S438*0.5,"Critical",IF(N($H438)&lt;=$S438,"Low",IF(N($H438)&gt;$U438,"Over top of green","OK")))))</f>
        <v/>
      </c>
      <c r="AE438" s="8" t="str">
        <f aca="false">IF($A438="","",$A438&amp;"")</f>
        <v/>
      </c>
      <c r="AF438" s="8" t="str">
        <f aca="false">IF($A438="","",SUBSTITUTE(SUBSTITUTE(SUBSTITUTE($A438&amp;"","~","~~"),"*","~*"),"?","~?"))</f>
        <v/>
      </c>
    </row>
    <row r="439" customFormat="false" ht="15" hidden="false" customHeight="false" outlineLevel="0" collapsed="false">
      <c r="A439" s="11"/>
      <c r="B439" s="11"/>
      <c r="C439" s="11"/>
      <c r="D439" s="16"/>
      <c r="E439" s="11"/>
      <c r="F439" s="11"/>
      <c r="G439" s="9"/>
      <c r="H439" s="11"/>
      <c r="I439" s="17"/>
      <c r="J439" s="18" t="str">
        <f aca="false">IF($A439="","",IF(COUNT(Usage!$C:$C)=0,"",MAX(0,SUMIFS(Usage!$C:$C,Usage!$A:$A,$AF439,Usage!$B:$B,"&gt;="&amp;(PlanDate-AduWindow),Usage!$B:$B,"&lt;"&amp;PlanDate))/AduWindow))</f>
        <v/>
      </c>
      <c r="K439" s="18" t="str">
        <f aca="false">IF($A439="","",IF(AND(ISNUMBER($I439),N($I439)&gt;=0),$I439,$J439))</f>
        <v/>
      </c>
      <c r="L439" s="19" t="str">
        <f aca="false">IF($A439="","",IF($K439="","Needs ADU",IF($K439&lt;=0,"No recent demand",IF(N($D439)&lt;=0,"Needs lead time","Planned"))))</f>
        <v/>
      </c>
      <c r="M439" s="8" t="str">
        <f aca="false">IF($A439="","",IF(ISNUMBER(MATCH($C439,Profiles!$A$2:$A$100,0)),$C439,DefaultProfile))</f>
        <v/>
      </c>
      <c r="N439" s="20" t="str">
        <f aca="false">IF($A439="","",INDEX(Profiles!$D$2:$D$100,MATCH($M439,Profiles!$A$2:$A$100,0)))</f>
        <v/>
      </c>
      <c r="O439" s="20" t="str">
        <f aca="false">IF($A439="","",INDEX(Profiles!$E$2:$E$100,MATCH($M439,Profiles!$A$2:$A$100,0)))</f>
        <v/>
      </c>
      <c r="P439" s="21" t="str">
        <f aca="false">IF($L439&lt;&gt;"Planned","",$K439*$D439*$N439*(1+$O439))</f>
        <v/>
      </c>
      <c r="Q439" s="21" t="str">
        <f aca="false">IF($L439&lt;&gt;"Planned","",$K439*$D439)</f>
        <v/>
      </c>
      <c r="R439" s="21" t="str">
        <f aca="false">IF($L439&lt;&gt;"Planned","",MAX(N($E439),$K439*$D439*$N439,$K439*N($G439)))</f>
        <v/>
      </c>
      <c r="S439" s="21" t="str">
        <f aca="false">IF($L439&lt;&gt;"Planned","",$P439)</f>
        <v/>
      </c>
      <c r="T439" s="21" t="str">
        <f aca="false">IF($L439&lt;&gt;"Planned","",$P439+$Q439)</f>
        <v/>
      </c>
      <c r="U439" s="21" t="str">
        <f aca="false">IF($L439&lt;&gt;"Planned","",$T439+$R439)</f>
        <v/>
      </c>
      <c r="V439" s="8" t="str">
        <f aca="false">IF($A439="","",SUMIFS('Open supply'!$C:$C,'Open supply'!$A:$A,$AF439))</f>
        <v/>
      </c>
      <c r="W439" s="8" t="str">
        <f aca="false">IF($A439="","",SUMIFS('Open supply'!$C:$C,'Open supply'!$A:$A,$AF439,'Open supply'!$B:$B,"&lt;"&amp;PlanDate))</f>
        <v/>
      </c>
      <c r="X439" s="8" t="str">
        <f aca="false">IF($A439="","",SUMIFS('Open demand'!$G:$G,'Open demand'!$A:$A,$AF439))</f>
        <v/>
      </c>
      <c r="Y439" s="8" t="str">
        <f aca="false">IF($L439&lt;&gt;"Planned","",N($H439)+$V439-$X439)</f>
        <v/>
      </c>
      <c r="Z439" s="19" t="str">
        <f aca="false">IF($L439&lt;&gt;"Planned","",IF($Y439&lt;=$S439,"Red",IF($Y439&lt;=$T439,"Yellow",IF($Y439&lt;=$U439,"Green","Above green"))))</f>
        <v/>
      </c>
      <c r="AA439" s="22" t="str">
        <f aca="false">IF(OR($L439&lt;&gt;"Planned",N($U439)&lt;=0),"",$Y439/$U439)</f>
        <v/>
      </c>
      <c r="AB439" s="8" t="str">
        <f aca="false">IF($L439&lt;&gt;"Planned","",IF($Y439&lt;=$T439,ROUNDUP(MAX($U439-$Y439,N($E439))/IF(N($F439)&gt;0,$F439,1)-0.000000001,0)*IF(N($F439)&gt;0,$F439,1),""))</f>
        <v/>
      </c>
      <c r="AC439" s="23" t="str">
        <f aca="false">IF(N($AB439)&gt;0,PlanDate+ROUNDUP($D439,0),"")</f>
        <v/>
      </c>
      <c r="AD439" s="19" t="str">
        <f aca="false">IF($L439&lt;&gt;"Planned","",IF(N($H439)&lt;=0,"Stockout",IF(N($H439)&lt;$S439*0.5,"Critical",IF(N($H439)&lt;=$S439,"Low",IF(N($H439)&gt;$U439,"Over top of green","OK")))))</f>
        <v/>
      </c>
      <c r="AE439" s="8" t="str">
        <f aca="false">IF($A439="","",$A439&amp;"")</f>
        <v/>
      </c>
      <c r="AF439" s="8" t="str">
        <f aca="false">IF($A439="","",SUBSTITUTE(SUBSTITUTE(SUBSTITUTE($A439&amp;"","~","~~"),"*","~*"),"?","~?"))</f>
        <v/>
      </c>
    </row>
    <row r="440" customFormat="false" ht="15" hidden="false" customHeight="false" outlineLevel="0" collapsed="false">
      <c r="A440" s="11"/>
      <c r="B440" s="11"/>
      <c r="C440" s="11"/>
      <c r="D440" s="16"/>
      <c r="E440" s="11"/>
      <c r="F440" s="11"/>
      <c r="G440" s="9"/>
      <c r="H440" s="11"/>
      <c r="I440" s="17"/>
      <c r="J440" s="18" t="str">
        <f aca="false">IF($A440="","",IF(COUNT(Usage!$C:$C)=0,"",MAX(0,SUMIFS(Usage!$C:$C,Usage!$A:$A,$AF440,Usage!$B:$B,"&gt;="&amp;(PlanDate-AduWindow),Usage!$B:$B,"&lt;"&amp;PlanDate))/AduWindow))</f>
        <v/>
      </c>
      <c r="K440" s="18" t="str">
        <f aca="false">IF($A440="","",IF(AND(ISNUMBER($I440),N($I440)&gt;=0),$I440,$J440))</f>
        <v/>
      </c>
      <c r="L440" s="19" t="str">
        <f aca="false">IF($A440="","",IF($K440="","Needs ADU",IF($K440&lt;=0,"No recent demand",IF(N($D440)&lt;=0,"Needs lead time","Planned"))))</f>
        <v/>
      </c>
      <c r="M440" s="8" t="str">
        <f aca="false">IF($A440="","",IF(ISNUMBER(MATCH($C440,Profiles!$A$2:$A$100,0)),$C440,DefaultProfile))</f>
        <v/>
      </c>
      <c r="N440" s="20" t="str">
        <f aca="false">IF($A440="","",INDEX(Profiles!$D$2:$D$100,MATCH($M440,Profiles!$A$2:$A$100,0)))</f>
        <v/>
      </c>
      <c r="O440" s="20" t="str">
        <f aca="false">IF($A440="","",INDEX(Profiles!$E$2:$E$100,MATCH($M440,Profiles!$A$2:$A$100,0)))</f>
        <v/>
      </c>
      <c r="P440" s="21" t="str">
        <f aca="false">IF($L440&lt;&gt;"Planned","",$K440*$D440*$N440*(1+$O440))</f>
        <v/>
      </c>
      <c r="Q440" s="21" t="str">
        <f aca="false">IF($L440&lt;&gt;"Planned","",$K440*$D440)</f>
        <v/>
      </c>
      <c r="R440" s="21" t="str">
        <f aca="false">IF($L440&lt;&gt;"Planned","",MAX(N($E440),$K440*$D440*$N440,$K440*N($G440)))</f>
        <v/>
      </c>
      <c r="S440" s="21" t="str">
        <f aca="false">IF($L440&lt;&gt;"Planned","",$P440)</f>
        <v/>
      </c>
      <c r="T440" s="21" t="str">
        <f aca="false">IF($L440&lt;&gt;"Planned","",$P440+$Q440)</f>
        <v/>
      </c>
      <c r="U440" s="21" t="str">
        <f aca="false">IF($L440&lt;&gt;"Planned","",$T440+$R440)</f>
        <v/>
      </c>
      <c r="V440" s="8" t="str">
        <f aca="false">IF($A440="","",SUMIFS('Open supply'!$C:$C,'Open supply'!$A:$A,$AF440))</f>
        <v/>
      </c>
      <c r="W440" s="8" t="str">
        <f aca="false">IF($A440="","",SUMIFS('Open supply'!$C:$C,'Open supply'!$A:$A,$AF440,'Open supply'!$B:$B,"&lt;"&amp;PlanDate))</f>
        <v/>
      </c>
      <c r="X440" s="8" t="str">
        <f aca="false">IF($A440="","",SUMIFS('Open demand'!$G:$G,'Open demand'!$A:$A,$AF440))</f>
        <v/>
      </c>
      <c r="Y440" s="8" t="str">
        <f aca="false">IF($L440&lt;&gt;"Planned","",N($H440)+$V440-$X440)</f>
        <v/>
      </c>
      <c r="Z440" s="19" t="str">
        <f aca="false">IF($L440&lt;&gt;"Planned","",IF($Y440&lt;=$S440,"Red",IF($Y440&lt;=$T440,"Yellow",IF($Y440&lt;=$U440,"Green","Above green"))))</f>
        <v/>
      </c>
      <c r="AA440" s="22" t="str">
        <f aca="false">IF(OR($L440&lt;&gt;"Planned",N($U440)&lt;=0),"",$Y440/$U440)</f>
        <v/>
      </c>
      <c r="AB440" s="8" t="str">
        <f aca="false">IF($L440&lt;&gt;"Planned","",IF($Y440&lt;=$T440,ROUNDUP(MAX($U440-$Y440,N($E440))/IF(N($F440)&gt;0,$F440,1)-0.000000001,0)*IF(N($F440)&gt;0,$F440,1),""))</f>
        <v/>
      </c>
      <c r="AC440" s="23" t="str">
        <f aca="false">IF(N($AB440)&gt;0,PlanDate+ROUNDUP($D440,0),"")</f>
        <v/>
      </c>
      <c r="AD440" s="19" t="str">
        <f aca="false">IF($L440&lt;&gt;"Planned","",IF(N($H440)&lt;=0,"Stockout",IF(N($H440)&lt;$S440*0.5,"Critical",IF(N($H440)&lt;=$S440,"Low",IF(N($H440)&gt;$U440,"Over top of green","OK")))))</f>
        <v/>
      </c>
      <c r="AE440" s="8" t="str">
        <f aca="false">IF($A440="","",$A440&amp;"")</f>
        <v/>
      </c>
      <c r="AF440" s="8" t="str">
        <f aca="false">IF($A440="","",SUBSTITUTE(SUBSTITUTE(SUBSTITUTE($A440&amp;"","~","~~"),"*","~*"),"?","~?"))</f>
        <v/>
      </c>
    </row>
    <row r="441" customFormat="false" ht="15" hidden="false" customHeight="false" outlineLevel="0" collapsed="false">
      <c r="A441" s="11"/>
      <c r="B441" s="11"/>
      <c r="C441" s="11"/>
      <c r="D441" s="16"/>
      <c r="E441" s="11"/>
      <c r="F441" s="11"/>
      <c r="G441" s="9"/>
      <c r="H441" s="11"/>
      <c r="I441" s="17"/>
      <c r="J441" s="18" t="str">
        <f aca="false">IF($A441="","",IF(COUNT(Usage!$C:$C)=0,"",MAX(0,SUMIFS(Usage!$C:$C,Usage!$A:$A,$AF441,Usage!$B:$B,"&gt;="&amp;(PlanDate-AduWindow),Usage!$B:$B,"&lt;"&amp;PlanDate))/AduWindow))</f>
        <v/>
      </c>
      <c r="K441" s="18" t="str">
        <f aca="false">IF($A441="","",IF(AND(ISNUMBER($I441),N($I441)&gt;=0),$I441,$J441))</f>
        <v/>
      </c>
      <c r="L441" s="19" t="str">
        <f aca="false">IF($A441="","",IF($K441="","Needs ADU",IF($K441&lt;=0,"No recent demand",IF(N($D441)&lt;=0,"Needs lead time","Planned"))))</f>
        <v/>
      </c>
      <c r="M441" s="8" t="str">
        <f aca="false">IF($A441="","",IF(ISNUMBER(MATCH($C441,Profiles!$A$2:$A$100,0)),$C441,DefaultProfile))</f>
        <v/>
      </c>
      <c r="N441" s="20" t="str">
        <f aca="false">IF($A441="","",INDEX(Profiles!$D$2:$D$100,MATCH($M441,Profiles!$A$2:$A$100,0)))</f>
        <v/>
      </c>
      <c r="O441" s="20" t="str">
        <f aca="false">IF($A441="","",INDEX(Profiles!$E$2:$E$100,MATCH($M441,Profiles!$A$2:$A$100,0)))</f>
        <v/>
      </c>
      <c r="P441" s="21" t="str">
        <f aca="false">IF($L441&lt;&gt;"Planned","",$K441*$D441*$N441*(1+$O441))</f>
        <v/>
      </c>
      <c r="Q441" s="21" t="str">
        <f aca="false">IF($L441&lt;&gt;"Planned","",$K441*$D441)</f>
        <v/>
      </c>
      <c r="R441" s="21" t="str">
        <f aca="false">IF($L441&lt;&gt;"Planned","",MAX(N($E441),$K441*$D441*$N441,$K441*N($G441)))</f>
        <v/>
      </c>
      <c r="S441" s="21" t="str">
        <f aca="false">IF($L441&lt;&gt;"Planned","",$P441)</f>
        <v/>
      </c>
      <c r="T441" s="21" t="str">
        <f aca="false">IF($L441&lt;&gt;"Planned","",$P441+$Q441)</f>
        <v/>
      </c>
      <c r="U441" s="21" t="str">
        <f aca="false">IF($L441&lt;&gt;"Planned","",$T441+$R441)</f>
        <v/>
      </c>
      <c r="V441" s="8" t="str">
        <f aca="false">IF($A441="","",SUMIFS('Open supply'!$C:$C,'Open supply'!$A:$A,$AF441))</f>
        <v/>
      </c>
      <c r="W441" s="8" t="str">
        <f aca="false">IF($A441="","",SUMIFS('Open supply'!$C:$C,'Open supply'!$A:$A,$AF441,'Open supply'!$B:$B,"&lt;"&amp;PlanDate))</f>
        <v/>
      </c>
      <c r="X441" s="8" t="str">
        <f aca="false">IF($A441="","",SUMIFS('Open demand'!$G:$G,'Open demand'!$A:$A,$AF441))</f>
        <v/>
      </c>
      <c r="Y441" s="8" t="str">
        <f aca="false">IF($L441&lt;&gt;"Planned","",N($H441)+$V441-$X441)</f>
        <v/>
      </c>
      <c r="Z441" s="19" t="str">
        <f aca="false">IF($L441&lt;&gt;"Planned","",IF($Y441&lt;=$S441,"Red",IF($Y441&lt;=$T441,"Yellow",IF($Y441&lt;=$U441,"Green","Above green"))))</f>
        <v/>
      </c>
      <c r="AA441" s="22" t="str">
        <f aca="false">IF(OR($L441&lt;&gt;"Planned",N($U441)&lt;=0),"",$Y441/$U441)</f>
        <v/>
      </c>
      <c r="AB441" s="8" t="str">
        <f aca="false">IF($L441&lt;&gt;"Planned","",IF($Y441&lt;=$T441,ROUNDUP(MAX($U441-$Y441,N($E441))/IF(N($F441)&gt;0,$F441,1)-0.000000001,0)*IF(N($F441)&gt;0,$F441,1),""))</f>
        <v/>
      </c>
      <c r="AC441" s="23" t="str">
        <f aca="false">IF(N($AB441)&gt;0,PlanDate+ROUNDUP($D441,0),"")</f>
        <v/>
      </c>
      <c r="AD441" s="19" t="str">
        <f aca="false">IF($L441&lt;&gt;"Planned","",IF(N($H441)&lt;=0,"Stockout",IF(N($H441)&lt;$S441*0.5,"Critical",IF(N($H441)&lt;=$S441,"Low",IF(N($H441)&gt;$U441,"Over top of green","OK")))))</f>
        <v/>
      </c>
      <c r="AE441" s="8" t="str">
        <f aca="false">IF($A441="","",$A441&amp;"")</f>
        <v/>
      </c>
      <c r="AF441" s="8" t="str">
        <f aca="false">IF($A441="","",SUBSTITUTE(SUBSTITUTE(SUBSTITUTE($A441&amp;"","~","~~"),"*","~*"),"?","~?"))</f>
        <v/>
      </c>
    </row>
    <row r="442" customFormat="false" ht="15" hidden="false" customHeight="false" outlineLevel="0" collapsed="false">
      <c r="A442" s="11"/>
      <c r="B442" s="11"/>
      <c r="C442" s="11"/>
      <c r="D442" s="16"/>
      <c r="E442" s="11"/>
      <c r="F442" s="11"/>
      <c r="G442" s="9"/>
      <c r="H442" s="11"/>
      <c r="I442" s="17"/>
      <c r="J442" s="18" t="str">
        <f aca="false">IF($A442="","",IF(COUNT(Usage!$C:$C)=0,"",MAX(0,SUMIFS(Usage!$C:$C,Usage!$A:$A,$AF442,Usage!$B:$B,"&gt;="&amp;(PlanDate-AduWindow),Usage!$B:$B,"&lt;"&amp;PlanDate))/AduWindow))</f>
        <v/>
      </c>
      <c r="K442" s="18" t="str">
        <f aca="false">IF($A442="","",IF(AND(ISNUMBER($I442),N($I442)&gt;=0),$I442,$J442))</f>
        <v/>
      </c>
      <c r="L442" s="19" t="str">
        <f aca="false">IF($A442="","",IF($K442="","Needs ADU",IF($K442&lt;=0,"No recent demand",IF(N($D442)&lt;=0,"Needs lead time","Planned"))))</f>
        <v/>
      </c>
      <c r="M442" s="8" t="str">
        <f aca="false">IF($A442="","",IF(ISNUMBER(MATCH($C442,Profiles!$A$2:$A$100,0)),$C442,DefaultProfile))</f>
        <v/>
      </c>
      <c r="N442" s="20" t="str">
        <f aca="false">IF($A442="","",INDEX(Profiles!$D$2:$D$100,MATCH($M442,Profiles!$A$2:$A$100,0)))</f>
        <v/>
      </c>
      <c r="O442" s="20" t="str">
        <f aca="false">IF($A442="","",INDEX(Profiles!$E$2:$E$100,MATCH($M442,Profiles!$A$2:$A$100,0)))</f>
        <v/>
      </c>
      <c r="P442" s="21" t="str">
        <f aca="false">IF($L442&lt;&gt;"Planned","",$K442*$D442*$N442*(1+$O442))</f>
        <v/>
      </c>
      <c r="Q442" s="21" t="str">
        <f aca="false">IF($L442&lt;&gt;"Planned","",$K442*$D442)</f>
        <v/>
      </c>
      <c r="R442" s="21" t="str">
        <f aca="false">IF($L442&lt;&gt;"Planned","",MAX(N($E442),$K442*$D442*$N442,$K442*N($G442)))</f>
        <v/>
      </c>
      <c r="S442" s="21" t="str">
        <f aca="false">IF($L442&lt;&gt;"Planned","",$P442)</f>
        <v/>
      </c>
      <c r="T442" s="21" t="str">
        <f aca="false">IF($L442&lt;&gt;"Planned","",$P442+$Q442)</f>
        <v/>
      </c>
      <c r="U442" s="21" t="str">
        <f aca="false">IF($L442&lt;&gt;"Planned","",$T442+$R442)</f>
        <v/>
      </c>
      <c r="V442" s="8" t="str">
        <f aca="false">IF($A442="","",SUMIFS('Open supply'!$C:$C,'Open supply'!$A:$A,$AF442))</f>
        <v/>
      </c>
      <c r="W442" s="8" t="str">
        <f aca="false">IF($A442="","",SUMIFS('Open supply'!$C:$C,'Open supply'!$A:$A,$AF442,'Open supply'!$B:$B,"&lt;"&amp;PlanDate))</f>
        <v/>
      </c>
      <c r="X442" s="8" t="str">
        <f aca="false">IF($A442="","",SUMIFS('Open demand'!$G:$G,'Open demand'!$A:$A,$AF442))</f>
        <v/>
      </c>
      <c r="Y442" s="8" t="str">
        <f aca="false">IF($L442&lt;&gt;"Planned","",N($H442)+$V442-$X442)</f>
        <v/>
      </c>
      <c r="Z442" s="19" t="str">
        <f aca="false">IF($L442&lt;&gt;"Planned","",IF($Y442&lt;=$S442,"Red",IF($Y442&lt;=$T442,"Yellow",IF($Y442&lt;=$U442,"Green","Above green"))))</f>
        <v/>
      </c>
      <c r="AA442" s="22" t="str">
        <f aca="false">IF(OR($L442&lt;&gt;"Planned",N($U442)&lt;=0),"",$Y442/$U442)</f>
        <v/>
      </c>
      <c r="AB442" s="8" t="str">
        <f aca="false">IF($L442&lt;&gt;"Planned","",IF($Y442&lt;=$T442,ROUNDUP(MAX($U442-$Y442,N($E442))/IF(N($F442)&gt;0,$F442,1)-0.000000001,0)*IF(N($F442)&gt;0,$F442,1),""))</f>
        <v/>
      </c>
      <c r="AC442" s="23" t="str">
        <f aca="false">IF(N($AB442)&gt;0,PlanDate+ROUNDUP($D442,0),"")</f>
        <v/>
      </c>
      <c r="AD442" s="19" t="str">
        <f aca="false">IF($L442&lt;&gt;"Planned","",IF(N($H442)&lt;=0,"Stockout",IF(N($H442)&lt;$S442*0.5,"Critical",IF(N($H442)&lt;=$S442,"Low",IF(N($H442)&gt;$U442,"Over top of green","OK")))))</f>
        <v/>
      </c>
      <c r="AE442" s="8" t="str">
        <f aca="false">IF($A442="","",$A442&amp;"")</f>
        <v/>
      </c>
      <c r="AF442" s="8" t="str">
        <f aca="false">IF($A442="","",SUBSTITUTE(SUBSTITUTE(SUBSTITUTE($A442&amp;"","~","~~"),"*","~*"),"?","~?"))</f>
        <v/>
      </c>
    </row>
    <row r="443" customFormat="false" ht="15" hidden="false" customHeight="false" outlineLevel="0" collapsed="false">
      <c r="A443" s="11"/>
      <c r="B443" s="11"/>
      <c r="C443" s="11"/>
      <c r="D443" s="16"/>
      <c r="E443" s="11"/>
      <c r="F443" s="11"/>
      <c r="G443" s="9"/>
      <c r="H443" s="11"/>
      <c r="I443" s="17"/>
      <c r="J443" s="18" t="str">
        <f aca="false">IF($A443="","",IF(COUNT(Usage!$C:$C)=0,"",MAX(0,SUMIFS(Usage!$C:$C,Usage!$A:$A,$AF443,Usage!$B:$B,"&gt;="&amp;(PlanDate-AduWindow),Usage!$B:$B,"&lt;"&amp;PlanDate))/AduWindow))</f>
        <v/>
      </c>
      <c r="K443" s="18" t="str">
        <f aca="false">IF($A443="","",IF(AND(ISNUMBER($I443),N($I443)&gt;=0),$I443,$J443))</f>
        <v/>
      </c>
      <c r="L443" s="19" t="str">
        <f aca="false">IF($A443="","",IF($K443="","Needs ADU",IF($K443&lt;=0,"No recent demand",IF(N($D443)&lt;=0,"Needs lead time","Planned"))))</f>
        <v/>
      </c>
      <c r="M443" s="8" t="str">
        <f aca="false">IF($A443="","",IF(ISNUMBER(MATCH($C443,Profiles!$A$2:$A$100,0)),$C443,DefaultProfile))</f>
        <v/>
      </c>
      <c r="N443" s="20" t="str">
        <f aca="false">IF($A443="","",INDEX(Profiles!$D$2:$D$100,MATCH($M443,Profiles!$A$2:$A$100,0)))</f>
        <v/>
      </c>
      <c r="O443" s="20" t="str">
        <f aca="false">IF($A443="","",INDEX(Profiles!$E$2:$E$100,MATCH($M443,Profiles!$A$2:$A$100,0)))</f>
        <v/>
      </c>
      <c r="P443" s="21" t="str">
        <f aca="false">IF($L443&lt;&gt;"Planned","",$K443*$D443*$N443*(1+$O443))</f>
        <v/>
      </c>
      <c r="Q443" s="21" t="str">
        <f aca="false">IF($L443&lt;&gt;"Planned","",$K443*$D443)</f>
        <v/>
      </c>
      <c r="R443" s="21" t="str">
        <f aca="false">IF($L443&lt;&gt;"Planned","",MAX(N($E443),$K443*$D443*$N443,$K443*N($G443)))</f>
        <v/>
      </c>
      <c r="S443" s="21" t="str">
        <f aca="false">IF($L443&lt;&gt;"Planned","",$P443)</f>
        <v/>
      </c>
      <c r="T443" s="21" t="str">
        <f aca="false">IF($L443&lt;&gt;"Planned","",$P443+$Q443)</f>
        <v/>
      </c>
      <c r="U443" s="21" t="str">
        <f aca="false">IF($L443&lt;&gt;"Planned","",$T443+$R443)</f>
        <v/>
      </c>
      <c r="V443" s="8" t="str">
        <f aca="false">IF($A443="","",SUMIFS('Open supply'!$C:$C,'Open supply'!$A:$A,$AF443))</f>
        <v/>
      </c>
      <c r="W443" s="8" t="str">
        <f aca="false">IF($A443="","",SUMIFS('Open supply'!$C:$C,'Open supply'!$A:$A,$AF443,'Open supply'!$B:$B,"&lt;"&amp;PlanDate))</f>
        <v/>
      </c>
      <c r="X443" s="8" t="str">
        <f aca="false">IF($A443="","",SUMIFS('Open demand'!$G:$G,'Open demand'!$A:$A,$AF443))</f>
        <v/>
      </c>
      <c r="Y443" s="8" t="str">
        <f aca="false">IF($L443&lt;&gt;"Planned","",N($H443)+$V443-$X443)</f>
        <v/>
      </c>
      <c r="Z443" s="19" t="str">
        <f aca="false">IF($L443&lt;&gt;"Planned","",IF($Y443&lt;=$S443,"Red",IF($Y443&lt;=$T443,"Yellow",IF($Y443&lt;=$U443,"Green","Above green"))))</f>
        <v/>
      </c>
      <c r="AA443" s="22" t="str">
        <f aca="false">IF(OR($L443&lt;&gt;"Planned",N($U443)&lt;=0),"",$Y443/$U443)</f>
        <v/>
      </c>
      <c r="AB443" s="8" t="str">
        <f aca="false">IF($L443&lt;&gt;"Planned","",IF($Y443&lt;=$T443,ROUNDUP(MAX($U443-$Y443,N($E443))/IF(N($F443)&gt;0,$F443,1)-0.000000001,0)*IF(N($F443)&gt;0,$F443,1),""))</f>
        <v/>
      </c>
      <c r="AC443" s="23" t="str">
        <f aca="false">IF(N($AB443)&gt;0,PlanDate+ROUNDUP($D443,0),"")</f>
        <v/>
      </c>
      <c r="AD443" s="19" t="str">
        <f aca="false">IF($L443&lt;&gt;"Planned","",IF(N($H443)&lt;=0,"Stockout",IF(N($H443)&lt;$S443*0.5,"Critical",IF(N($H443)&lt;=$S443,"Low",IF(N($H443)&gt;$U443,"Over top of green","OK")))))</f>
        <v/>
      </c>
      <c r="AE443" s="8" t="str">
        <f aca="false">IF($A443="","",$A443&amp;"")</f>
        <v/>
      </c>
      <c r="AF443" s="8" t="str">
        <f aca="false">IF($A443="","",SUBSTITUTE(SUBSTITUTE(SUBSTITUTE($A443&amp;"","~","~~"),"*","~*"),"?","~?"))</f>
        <v/>
      </c>
    </row>
    <row r="444" customFormat="false" ht="15" hidden="false" customHeight="false" outlineLevel="0" collapsed="false">
      <c r="A444" s="11"/>
      <c r="B444" s="11"/>
      <c r="C444" s="11"/>
      <c r="D444" s="16"/>
      <c r="E444" s="11"/>
      <c r="F444" s="11"/>
      <c r="G444" s="9"/>
      <c r="H444" s="11"/>
      <c r="I444" s="17"/>
      <c r="J444" s="18" t="str">
        <f aca="false">IF($A444="","",IF(COUNT(Usage!$C:$C)=0,"",MAX(0,SUMIFS(Usage!$C:$C,Usage!$A:$A,$AF444,Usage!$B:$B,"&gt;="&amp;(PlanDate-AduWindow),Usage!$B:$B,"&lt;"&amp;PlanDate))/AduWindow))</f>
        <v/>
      </c>
      <c r="K444" s="18" t="str">
        <f aca="false">IF($A444="","",IF(AND(ISNUMBER($I444),N($I444)&gt;=0),$I444,$J444))</f>
        <v/>
      </c>
      <c r="L444" s="19" t="str">
        <f aca="false">IF($A444="","",IF($K444="","Needs ADU",IF($K444&lt;=0,"No recent demand",IF(N($D444)&lt;=0,"Needs lead time","Planned"))))</f>
        <v/>
      </c>
      <c r="M444" s="8" t="str">
        <f aca="false">IF($A444="","",IF(ISNUMBER(MATCH($C444,Profiles!$A$2:$A$100,0)),$C444,DefaultProfile))</f>
        <v/>
      </c>
      <c r="N444" s="20" t="str">
        <f aca="false">IF($A444="","",INDEX(Profiles!$D$2:$D$100,MATCH($M444,Profiles!$A$2:$A$100,0)))</f>
        <v/>
      </c>
      <c r="O444" s="20" t="str">
        <f aca="false">IF($A444="","",INDEX(Profiles!$E$2:$E$100,MATCH($M444,Profiles!$A$2:$A$100,0)))</f>
        <v/>
      </c>
      <c r="P444" s="21" t="str">
        <f aca="false">IF($L444&lt;&gt;"Planned","",$K444*$D444*$N444*(1+$O444))</f>
        <v/>
      </c>
      <c r="Q444" s="21" t="str">
        <f aca="false">IF($L444&lt;&gt;"Planned","",$K444*$D444)</f>
        <v/>
      </c>
      <c r="R444" s="21" t="str">
        <f aca="false">IF($L444&lt;&gt;"Planned","",MAX(N($E444),$K444*$D444*$N444,$K444*N($G444)))</f>
        <v/>
      </c>
      <c r="S444" s="21" t="str">
        <f aca="false">IF($L444&lt;&gt;"Planned","",$P444)</f>
        <v/>
      </c>
      <c r="T444" s="21" t="str">
        <f aca="false">IF($L444&lt;&gt;"Planned","",$P444+$Q444)</f>
        <v/>
      </c>
      <c r="U444" s="21" t="str">
        <f aca="false">IF($L444&lt;&gt;"Planned","",$T444+$R444)</f>
        <v/>
      </c>
      <c r="V444" s="8" t="str">
        <f aca="false">IF($A444="","",SUMIFS('Open supply'!$C:$C,'Open supply'!$A:$A,$AF444))</f>
        <v/>
      </c>
      <c r="W444" s="8" t="str">
        <f aca="false">IF($A444="","",SUMIFS('Open supply'!$C:$C,'Open supply'!$A:$A,$AF444,'Open supply'!$B:$B,"&lt;"&amp;PlanDate))</f>
        <v/>
      </c>
      <c r="X444" s="8" t="str">
        <f aca="false">IF($A444="","",SUMIFS('Open demand'!$G:$G,'Open demand'!$A:$A,$AF444))</f>
        <v/>
      </c>
      <c r="Y444" s="8" t="str">
        <f aca="false">IF($L444&lt;&gt;"Planned","",N($H444)+$V444-$X444)</f>
        <v/>
      </c>
      <c r="Z444" s="19" t="str">
        <f aca="false">IF($L444&lt;&gt;"Planned","",IF($Y444&lt;=$S444,"Red",IF($Y444&lt;=$T444,"Yellow",IF($Y444&lt;=$U444,"Green","Above green"))))</f>
        <v/>
      </c>
      <c r="AA444" s="22" t="str">
        <f aca="false">IF(OR($L444&lt;&gt;"Planned",N($U444)&lt;=0),"",$Y444/$U444)</f>
        <v/>
      </c>
      <c r="AB444" s="8" t="str">
        <f aca="false">IF($L444&lt;&gt;"Planned","",IF($Y444&lt;=$T444,ROUNDUP(MAX($U444-$Y444,N($E444))/IF(N($F444)&gt;0,$F444,1)-0.000000001,0)*IF(N($F444)&gt;0,$F444,1),""))</f>
        <v/>
      </c>
      <c r="AC444" s="23" t="str">
        <f aca="false">IF(N($AB444)&gt;0,PlanDate+ROUNDUP($D444,0),"")</f>
        <v/>
      </c>
      <c r="AD444" s="19" t="str">
        <f aca="false">IF($L444&lt;&gt;"Planned","",IF(N($H444)&lt;=0,"Stockout",IF(N($H444)&lt;$S444*0.5,"Critical",IF(N($H444)&lt;=$S444,"Low",IF(N($H444)&gt;$U444,"Over top of green","OK")))))</f>
        <v/>
      </c>
      <c r="AE444" s="8" t="str">
        <f aca="false">IF($A444="","",$A444&amp;"")</f>
        <v/>
      </c>
      <c r="AF444" s="8" t="str">
        <f aca="false">IF($A444="","",SUBSTITUTE(SUBSTITUTE(SUBSTITUTE($A444&amp;"","~","~~"),"*","~*"),"?","~?"))</f>
        <v/>
      </c>
    </row>
    <row r="445" customFormat="false" ht="15" hidden="false" customHeight="false" outlineLevel="0" collapsed="false">
      <c r="A445" s="11"/>
      <c r="B445" s="11"/>
      <c r="C445" s="11"/>
      <c r="D445" s="16"/>
      <c r="E445" s="11"/>
      <c r="F445" s="11"/>
      <c r="G445" s="9"/>
      <c r="H445" s="11"/>
      <c r="I445" s="17"/>
      <c r="J445" s="18" t="str">
        <f aca="false">IF($A445="","",IF(COUNT(Usage!$C:$C)=0,"",MAX(0,SUMIFS(Usage!$C:$C,Usage!$A:$A,$AF445,Usage!$B:$B,"&gt;="&amp;(PlanDate-AduWindow),Usage!$B:$B,"&lt;"&amp;PlanDate))/AduWindow))</f>
        <v/>
      </c>
      <c r="K445" s="18" t="str">
        <f aca="false">IF($A445="","",IF(AND(ISNUMBER($I445),N($I445)&gt;=0),$I445,$J445))</f>
        <v/>
      </c>
      <c r="L445" s="19" t="str">
        <f aca="false">IF($A445="","",IF($K445="","Needs ADU",IF($K445&lt;=0,"No recent demand",IF(N($D445)&lt;=0,"Needs lead time","Planned"))))</f>
        <v/>
      </c>
      <c r="M445" s="8" t="str">
        <f aca="false">IF($A445="","",IF(ISNUMBER(MATCH($C445,Profiles!$A$2:$A$100,0)),$C445,DefaultProfile))</f>
        <v/>
      </c>
      <c r="N445" s="20" t="str">
        <f aca="false">IF($A445="","",INDEX(Profiles!$D$2:$D$100,MATCH($M445,Profiles!$A$2:$A$100,0)))</f>
        <v/>
      </c>
      <c r="O445" s="20" t="str">
        <f aca="false">IF($A445="","",INDEX(Profiles!$E$2:$E$100,MATCH($M445,Profiles!$A$2:$A$100,0)))</f>
        <v/>
      </c>
      <c r="P445" s="21" t="str">
        <f aca="false">IF($L445&lt;&gt;"Planned","",$K445*$D445*$N445*(1+$O445))</f>
        <v/>
      </c>
      <c r="Q445" s="21" t="str">
        <f aca="false">IF($L445&lt;&gt;"Planned","",$K445*$D445)</f>
        <v/>
      </c>
      <c r="R445" s="21" t="str">
        <f aca="false">IF($L445&lt;&gt;"Planned","",MAX(N($E445),$K445*$D445*$N445,$K445*N($G445)))</f>
        <v/>
      </c>
      <c r="S445" s="21" t="str">
        <f aca="false">IF($L445&lt;&gt;"Planned","",$P445)</f>
        <v/>
      </c>
      <c r="T445" s="21" t="str">
        <f aca="false">IF($L445&lt;&gt;"Planned","",$P445+$Q445)</f>
        <v/>
      </c>
      <c r="U445" s="21" t="str">
        <f aca="false">IF($L445&lt;&gt;"Planned","",$T445+$R445)</f>
        <v/>
      </c>
      <c r="V445" s="8" t="str">
        <f aca="false">IF($A445="","",SUMIFS('Open supply'!$C:$C,'Open supply'!$A:$A,$AF445))</f>
        <v/>
      </c>
      <c r="W445" s="8" t="str">
        <f aca="false">IF($A445="","",SUMIFS('Open supply'!$C:$C,'Open supply'!$A:$A,$AF445,'Open supply'!$B:$B,"&lt;"&amp;PlanDate))</f>
        <v/>
      </c>
      <c r="X445" s="8" t="str">
        <f aca="false">IF($A445="","",SUMIFS('Open demand'!$G:$G,'Open demand'!$A:$A,$AF445))</f>
        <v/>
      </c>
      <c r="Y445" s="8" t="str">
        <f aca="false">IF($L445&lt;&gt;"Planned","",N($H445)+$V445-$X445)</f>
        <v/>
      </c>
      <c r="Z445" s="19" t="str">
        <f aca="false">IF($L445&lt;&gt;"Planned","",IF($Y445&lt;=$S445,"Red",IF($Y445&lt;=$T445,"Yellow",IF($Y445&lt;=$U445,"Green","Above green"))))</f>
        <v/>
      </c>
      <c r="AA445" s="22" t="str">
        <f aca="false">IF(OR($L445&lt;&gt;"Planned",N($U445)&lt;=0),"",$Y445/$U445)</f>
        <v/>
      </c>
      <c r="AB445" s="8" t="str">
        <f aca="false">IF($L445&lt;&gt;"Planned","",IF($Y445&lt;=$T445,ROUNDUP(MAX($U445-$Y445,N($E445))/IF(N($F445)&gt;0,$F445,1)-0.000000001,0)*IF(N($F445)&gt;0,$F445,1),""))</f>
        <v/>
      </c>
      <c r="AC445" s="23" t="str">
        <f aca="false">IF(N($AB445)&gt;0,PlanDate+ROUNDUP($D445,0),"")</f>
        <v/>
      </c>
      <c r="AD445" s="19" t="str">
        <f aca="false">IF($L445&lt;&gt;"Planned","",IF(N($H445)&lt;=0,"Stockout",IF(N($H445)&lt;$S445*0.5,"Critical",IF(N($H445)&lt;=$S445,"Low",IF(N($H445)&gt;$U445,"Over top of green","OK")))))</f>
        <v/>
      </c>
      <c r="AE445" s="8" t="str">
        <f aca="false">IF($A445="","",$A445&amp;"")</f>
        <v/>
      </c>
      <c r="AF445" s="8" t="str">
        <f aca="false">IF($A445="","",SUBSTITUTE(SUBSTITUTE(SUBSTITUTE($A445&amp;"","~","~~"),"*","~*"),"?","~?"))</f>
        <v/>
      </c>
    </row>
    <row r="446" customFormat="false" ht="15" hidden="false" customHeight="false" outlineLevel="0" collapsed="false">
      <c r="A446" s="11"/>
      <c r="B446" s="11"/>
      <c r="C446" s="11"/>
      <c r="D446" s="16"/>
      <c r="E446" s="11"/>
      <c r="F446" s="11"/>
      <c r="G446" s="9"/>
      <c r="H446" s="11"/>
      <c r="I446" s="17"/>
      <c r="J446" s="18" t="str">
        <f aca="false">IF($A446="","",IF(COUNT(Usage!$C:$C)=0,"",MAX(0,SUMIFS(Usage!$C:$C,Usage!$A:$A,$AF446,Usage!$B:$B,"&gt;="&amp;(PlanDate-AduWindow),Usage!$B:$B,"&lt;"&amp;PlanDate))/AduWindow))</f>
        <v/>
      </c>
      <c r="K446" s="18" t="str">
        <f aca="false">IF($A446="","",IF(AND(ISNUMBER($I446),N($I446)&gt;=0),$I446,$J446))</f>
        <v/>
      </c>
      <c r="L446" s="19" t="str">
        <f aca="false">IF($A446="","",IF($K446="","Needs ADU",IF($K446&lt;=0,"No recent demand",IF(N($D446)&lt;=0,"Needs lead time","Planned"))))</f>
        <v/>
      </c>
      <c r="M446" s="8" t="str">
        <f aca="false">IF($A446="","",IF(ISNUMBER(MATCH($C446,Profiles!$A$2:$A$100,0)),$C446,DefaultProfile))</f>
        <v/>
      </c>
      <c r="N446" s="20" t="str">
        <f aca="false">IF($A446="","",INDEX(Profiles!$D$2:$D$100,MATCH($M446,Profiles!$A$2:$A$100,0)))</f>
        <v/>
      </c>
      <c r="O446" s="20" t="str">
        <f aca="false">IF($A446="","",INDEX(Profiles!$E$2:$E$100,MATCH($M446,Profiles!$A$2:$A$100,0)))</f>
        <v/>
      </c>
      <c r="P446" s="21" t="str">
        <f aca="false">IF($L446&lt;&gt;"Planned","",$K446*$D446*$N446*(1+$O446))</f>
        <v/>
      </c>
      <c r="Q446" s="21" t="str">
        <f aca="false">IF($L446&lt;&gt;"Planned","",$K446*$D446)</f>
        <v/>
      </c>
      <c r="R446" s="21" t="str">
        <f aca="false">IF($L446&lt;&gt;"Planned","",MAX(N($E446),$K446*$D446*$N446,$K446*N($G446)))</f>
        <v/>
      </c>
      <c r="S446" s="21" t="str">
        <f aca="false">IF($L446&lt;&gt;"Planned","",$P446)</f>
        <v/>
      </c>
      <c r="T446" s="21" t="str">
        <f aca="false">IF($L446&lt;&gt;"Planned","",$P446+$Q446)</f>
        <v/>
      </c>
      <c r="U446" s="21" t="str">
        <f aca="false">IF($L446&lt;&gt;"Planned","",$T446+$R446)</f>
        <v/>
      </c>
      <c r="V446" s="8" t="str">
        <f aca="false">IF($A446="","",SUMIFS('Open supply'!$C:$C,'Open supply'!$A:$A,$AF446))</f>
        <v/>
      </c>
      <c r="W446" s="8" t="str">
        <f aca="false">IF($A446="","",SUMIFS('Open supply'!$C:$C,'Open supply'!$A:$A,$AF446,'Open supply'!$B:$B,"&lt;"&amp;PlanDate))</f>
        <v/>
      </c>
      <c r="X446" s="8" t="str">
        <f aca="false">IF($A446="","",SUMIFS('Open demand'!$G:$G,'Open demand'!$A:$A,$AF446))</f>
        <v/>
      </c>
      <c r="Y446" s="8" t="str">
        <f aca="false">IF($L446&lt;&gt;"Planned","",N($H446)+$V446-$X446)</f>
        <v/>
      </c>
      <c r="Z446" s="19" t="str">
        <f aca="false">IF($L446&lt;&gt;"Planned","",IF($Y446&lt;=$S446,"Red",IF($Y446&lt;=$T446,"Yellow",IF($Y446&lt;=$U446,"Green","Above green"))))</f>
        <v/>
      </c>
      <c r="AA446" s="22" t="str">
        <f aca="false">IF(OR($L446&lt;&gt;"Planned",N($U446)&lt;=0),"",$Y446/$U446)</f>
        <v/>
      </c>
      <c r="AB446" s="8" t="str">
        <f aca="false">IF($L446&lt;&gt;"Planned","",IF($Y446&lt;=$T446,ROUNDUP(MAX($U446-$Y446,N($E446))/IF(N($F446)&gt;0,$F446,1)-0.000000001,0)*IF(N($F446)&gt;0,$F446,1),""))</f>
        <v/>
      </c>
      <c r="AC446" s="23" t="str">
        <f aca="false">IF(N($AB446)&gt;0,PlanDate+ROUNDUP($D446,0),"")</f>
        <v/>
      </c>
      <c r="AD446" s="19" t="str">
        <f aca="false">IF($L446&lt;&gt;"Planned","",IF(N($H446)&lt;=0,"Stockout",IF(N($H446)&lt;$S446*0.5,"Critical",IF(N($H446)&lt;=$S446,"Low",IF(N($H446)&gt;$U446,"Over top of green","OK")))))</f>
        <v/>
      </c>
      <c r="AE446" s="8" t="str">
        <f aca="false">IF($A446="","",$A446&amp;"")</f>
        <v/>
      </c>
      <c r="AF446" s="8" t="str">
        <f aca="false">IF($A446="","",SUBSTITUTE(SUBSTITUTE(SUBSTITUTE($A446&amp;"","~","~~"),"*","~*"),"?","~?"))</f>
        <v/>
      </c>
    </row>
    <row r="447" customFormat="false" ht="15" hidden="false" customHeight="false" outlineLevel="0" collapsed="false">
      <c r="A447" s="11"/>
      <c r="B447" s="11"/>
      <c r="C447" s="11"/>
      <c r="D447" s="16"/>
      <c r="E447" s="11"/>
      <c r="F447" s="11"/>
      <c r="G447" s="9"/>
      <c r="H447" s="11"/>
      <c r="I447" s="17"/>
      <c r="J447" s="18" t="str">
        <f aca="false">IF($A447="","",IF(COUNT(Usage!$C:$C)=0,"",MAX(0,SUMIFS(Usage!$C:$C,Usage!$A:$A,$AF447,Usage!$B:$B,"&gt;="&amp;(PlanDate-AduWindow),Usage!$B:$B,"&lt;"&amp;PlanDate))/AduWindow))</f>
        <v/>
      </c>
      <c r="K447" s="18" t="str">
        <f aca="false">IF($A447="","",IF(AND(ISNUMBER($I447),N($I447)&gt;=0),$I447,$J447))</f>
        <v/>
      </c>
      <c r="L447" s="19" t="str">
        <f aca="false">IF($A447="","",IF($K447="","Needs ADU",IF($K447&lt;=0,"No recent demand",IF(N($D447)&lt;=0,"Needs lead time","Planned"))))</f>
        <v/>
      </c>
      <c r="M447" s="8" t="str">
        <f aca="false">IF($A447="","",IF(ISNUMBER(MATCH($C447,Profiles!$A$2:$A$100,0)),$C447,DefaultProfile))</f>
        <v/>
      </c>
      <c r="N447" s="20" t="str">
        <f aca="false">IF($A447="","",INDEX(Profiles!$D$2:$D$100,MATCH($M447,Profiles!$A$2:$A$100,0)))</f>
        <v/>
      </c>
      <c r="O447" s="20" t="str">
        <f aca="false">IF($A447="","",INDEX(Profiles!$E$2:$E$100,MATCH($M447,Profiles!$A$2:$A$100,0)))</f>
        <v/>
      </c>
      <c r="P447" s="21" t="str">
        <f aca="false">IF($L447&lt;&gt;"Planned","",$K447*$D447*$N447*(1+$O447))</f>
        <v/>
      </c>
      <c r="Q447" s="21" t="str">
        <f aca="false">IF($L447&lt;&gt;"Planned","",$K447*$D447)</f>
        <v/>
      </c>
      <c r="R447" s="21" t="str">
        <f aca="false">IF($L447&lt;&gt;"Planned","",MAX(N($E447),$K447*$D447*$N447,$K447*N($G447)))</f>
        <v/>
      </c>
      <c r="S447" s="21" t="str">
        <f aca="false">IF($L447&lt;&gt;"Planned","",$P447)</f>
        <v/>
      </c>
      <c r="T447" s="21" t="str">
        <f aca="false">IF($L447&lt;&gt;"Planned","",$P447+$Q447)</f>
        <v/>
      </c>
      <c r="U447" s="21" t="str">
        <f aca="false">IF($L447&lt;&gt;"Planned","",$T447+$R447)</f>
        <v/>
      </c>
      <c r="V447" s="8" t="str">
        <f aca="false">IF($A447="","",SUMIFS('Open supply'!$C:$C,'Open supply'!$A:$A,$AF447))</f>
        <v/>
      </c>
      <c r="W447" s="8" t="str">
        <f aca="false">IF($A447="","",SUMIFS('Open supply'!$C:$C,'Open supply'!$A:$A,$AF447,'Open supply'!$B:$B,"&lt;"&amp;PlanDate))</f>
        <v/>
      </c>
      <c r="X447" s="8" t="str">
        <f aca="false">IF($A447="","",SUMIFS('Open demand'!$G:$G,'Open demand'!$A:$A,$AF447))</f>
        <v/>
      </c>
      <c r="Y447" s="8" t="str">
        <f aca="false">IF($L447&lt;&gt;"Planned","",N($H447)+$V447-$X447)</f>
        <v/>
      </c>
      <c r="Z447" s="19" t="str">
        <f aca="false">IF($L447&lt;&gt;"Planned","",IF($Y447&lt;=$S447,"Red",IF($Y447&lt;=$T447,"Yellow",IF($Y447&lt;=$U447,"Green","Above green"))))</f>
        <v/>
      </c>
      <c r="AA447" s="22" t="str">
        <f aca="false">IF(OR($L447&lt;&gt;"Planned",N($U447)&lt;=0),"",$Y447/$U447)</f>
        <v/>
      </c>
      <c r="AB447" s="8" t="str">
        <f aca="false">IF($L447&lt;&gt;"Planned","",IF($Y447&lt;=$T447,ROUNDUP(MAX($U447-$Y447,N($E447))/IF(N($F447)&gt;0,$F447,1)-0.000000001,0)*IF(N($F447)&gt;0,$F447,1),""))</f>
        <v/>
      </c>
      <c r="AC447" s="23" t="str">
        <f aca="false">IF(N($AB447)&gt;0,PlanDate+ROUNDUP($D447,0),"")</f>
        <v/>
      </c>
      <c r="AD447" s="19" t="str">
        <f aca="false">IF($L447&lt;&gt;"Planned","",IF(N($H447)&lt;=0,"Stockout",IF(N($H447)&lt;$S447*0.5,"Critical",IF(N($H447)&lt;=$S447,"Low",IF(N($H447)&gt;$U447,"Over top of green","OK")))))</f>
        <v/>
      </c>
      <c r="AE447" s="8" t="str">
        <f aca="false">IF($A447="","",$A447&amp;"")</f>
        <v/>
      </c>
      <c r="AF447" s="8" t="str">
        <f aca="false">IF($A447="","",SUBSTITUTE(SUBSTITUTE(SUBSTITUTE($A447&amp;"","~","~~"),"*","~*"),"?","~?"))</f>
        <v/>
      </c>
    </row>
    <row r="448" customFormat="false" ht="15" hidden="false" customHeight="false" outlineLevel="0" collapsed="false">
      <c r="A448" s="11"/>
      <c r="B448" s="11"/>
      <c r="C448" s="11"/>
      <c r="D448" s="16"/>
      <c r="E448" s="11"/>
      <c r="F448" s="11"/>
      <c r="G448" s="9"/>
      <c r="H448" s="11"/>
      <c r="I448" s="17"/>
      <c r="J448" s="18" t="str">
        <f aca="false">IF($A448="","",IF(COUNT(Usage!$C:$C)=0,"",MAX(0,SUMIFS(Usage!$C:$C,Usage!$A:$A,$AF448,Usage!$B:$B,"&gt;="&amp;(PlanDate-AduWindow),Usage!$B:$B,"&lt;"&amp;PlanDate))/AduWindow))</f>
        <v/>
      </c>
      <c r="K448" s="18" t="str">
        <f aca="false">IF($A448="","",IF(AND(ISNUMBER($I448),N($I448)&gt;=0),$I448,$J448))</f>
        <v/>
      </c>
      <c r="L448" s="19" t="str">
        <f aca="false">IF($A448="","",IF($K448="","Needs ADU",IF($K448&lt;=0,"No recent demand",IF(N($D448)&lt;=0,"Needs lead time","Planned"))))</f>
        <v/>
      </c>
      <c r="M448" s="8" t="str">
        <f aca="false">IF($A448="","",IF(ISNUMBER(MATCH($C448,Profiles!$A$2:$A$100,0)),$C448,DefaultProfile))</f>
        <v/>
      </c>
      <c r="N448" s="20" t="str">
        <f aca="false">IF($A448="","",INDEX(Profiles!$D$2:$D$100,MATCH($M448,Profiles!$A$2:$A$100,0)))</f>
        <v/>
      </c>
      <c r="O448" s="20" t="str">
        <f aca="false">IF($A448="","",INDEX(Profiles!$E$2:$E$100,MATCH($M448,Profiles!$A$2:$A$100,0)))</f>
        <v/>
      </c>
      <c r="P448" s="21" t="str">
        <f aca="false">IF($L448&lt;&gt;"Planned","",$K448*$D448*$N448*(1+$O448))</f>
        <v/>
      </c>
      <c r="Q448" s="21" t="str">
        <f aca="false">IF($L448&lt;&gt;"Planned","",$K448*$D448)</f>
        <v/>
      </c>
      <c r="R448" s="21" t="str">
        <f aca="false">IF($L448&lt;&gt;"Planned","",MAX(N($E448),$K448*$D448*$N448,$K448*N($G448)))</f>
        <v/>
      </c>
      <c r="S448" s="21" t="str">
        <f aca="false">IF($L448&lt;&gt;"Planned","",$P448)</f>
        <v/>
      </c>
      <c r="T448" s="21" t="str">
        <f aca="false">IF($L448&lt;&gt;"Planned","",$P448+$Q448)</f>
        <v/>
      </c>
      <c r="U448" s="21" t="str">
        <f aca="false">IF($L448&lt;&gt;"Planned","",$T448+$R448)</f>
        <v/>
      </c>
      <c r="V448" s="8" t="str">
        <f aca="false">IF($A448="","",SUMIFS('Open supply'!$C:$C,'Open supply'!$A:$A,$AF448))</f>
        <v/>
      </c>
      <c r="W448" s="8" t="str">
        <f aca="false">IF($A448="","",SUMIFS('Open supply'!$C:$C,'Open supply'!$A:$A,$AF448,'Open supply'!$B:$B,"&lt;"&amp;PlanDate))</f>
        <v/>
      </c>
      <c r="X448" s="8" t="str">
        <f aca="false">IF($A448="","",SUMIFS('Open demand'!$G:$G,'Open demand'!$A:$A,$AF448))</f>
        <v/>
      </c>
      <c r="Y448" s="8" t="str">
        <f aca="false">IF($L448&lt;&gt;"Planned","",N($H448)+$V448-$X448)</f>
        <v/>
      </c>
      <c r="Z448" s="19" t="str">
        <f aca="false">IF($L448&lt;&gt;"Planned","",IF($Y448&lt;=$S448,"Red",IF($Y448&lt;=$T448,"Yellow",IF($Y448&lt;=$U448,"Green","Above green"))))</f>
        <v/>
      </c>
      <c r="AA448" s="22" t="str">
        <f aca="false">IF(OR($L448&lt;&gt;"Planned",N($U448)&lt;=0),"",$Y448/$U448)</f>
        <v/>
      </c>
      <c r="AB448" s="8" t="str">
        <f aca="false">IF($L448&lt;&gt;"Planned","",IF($Y448&lt;=$T448,ROUNDUP(MAX($U448-$Y448,N($E448))/IF(N($F448)&gt;0,$F448,1)-0.000000001,0)*IF(N($F448)&gt;0,$F448,1),""))</f>
        <v/>
      </c>
      <c r="AC448" s="23" t="str">
        <f aca="false">IF(N($AB448)&gt;0,PlanDate+ROUNDUP($D448,0),"")</f>
        <v/>
      </c>
      <c r="AD448" s="19" t="str">
        <f aca="false">IF($L448&lt;&gt;"Planned","",IF(N($H448)&lt;=0,"Stockout",IF(N($H448)&lt;$S448*0.5,"Critical",IF(N($H448)&lt;=$S448,"Low",IF(N($H448)&gt;$U448,"Over top of green","OK")))))</f>
        <v/>
      </c>
      <c r="AE448" s="8" t="str">
        <f aca="false">IF($A448="","",$A448&amp;"")</f>
        <v/>
      </c>
      <c r="AF448" s="8" t="str">
        <f aca="false">IF($A448="","",SUBSTITUTE(SUBSTITUTE(SUBSTITUTE($A448&amp;"","~","~~"),"*","~*"),"?","~?"))</f>
        <v/>
      </c>
    </row>
    <row r="449" customFormat="false" ht="15" hidden="false" customHeight="false" outlineLevel="0" collapsed="false">
      <c r="A449" s="11"/>
      <c r="B449" s="11"/>
      <c r="C449" s="11"/>
      <c r="D449" s="16"/>
      <c r="E449" s="11"/>
      <c r="F449" s="11"/>
      <c r="G449" s="9"/>
      <c r="H449" s="11"/>
      <c r="I449" s="17"/>
      <c r="J449" s="18" t="str">
        <f aca="false">IF($A449="","",IF(COUNT(Usage!$C:$C)=0,"",MAX(0,SUMIFS(Usage!$C:$C,Usage!$A:$A,$AF449,Usage!$B:$B,"&gt;="&amp;(PlanDate-AduWindow),Usage!$B:$B,"&lt;"&amp;PlanDate))/AduWindow))</f>
        <v/>
      </c>
      <c r="K449" s="18" t="str">
        <f aca="false">IF($A449="","",IF(AND(ISNUMBER($I449),N($I449)&gt;=0),$I449,$J449))</f>
        <v/>
      </c>
      <c r="L449" s="19" t="str">
        <f aca="false">IF($A449="","",IF($K449="","Needs ADU",IF($K449&lt;=0,"No recent demand",IF(N($D449)&lt;=0,"Needs lead time","Planned"))))</f>
        <v/>
      </c>
      <c r="M449" s="8" t="str">
        <f aca="false">IF($A449="","",IF(ISNUMBER(MATCH($C449,Profiles!$A$2:$A$100,0)),$C449,DefaultProfile))</f>
        <v/>
      </c>
      <c r="N449" s="20" t="str">
        <f aca="false">IF($A449="","",INDEX(Profiles!$D$2:$D$100,MATCH($M449,Profiles!$A$2:$A$100,0)))</f>
        <v/>
      </c>
      <c r="O449" s="20" t="str">
        <f aca="false">IF($A449="","",INDEX(Profiles!$E$2:$E$100,MATCH($M449,Profiles!$A$2:$A$100,0)))</f>
        <v/>
      </c>
      <c r="P449" s="21" t="str">
        <f aca="false">IF($L449&lt;&gt;"Planned","",$K449*$D449*$N449*(1+$O449))</f>
        <v/>
      </c>
      <c r="Q449" s="21" t="str">
        <f aca="false">IF($L449&lt;&gt;"Planned","",$K449*$D449)</f>
        <v/>
      </c>
      <c r="R449" s="21" t="str">
        <f aca="false">IF($L449&lt;&gt;"Planned","",MAX(N($E449),$K449*$D449*$N449,$K449*N($G449)))</f>
        <v/>
      </c>
      <c r="S449" s="21" t="str">
        <f aca="false">IF($L449&lt;&gt;"Planned","",$P449)</f>
        <v/>
      </c>
      <c r="T449" s="21" t="str">
        <f aca="false">IF($L449&lt;&gt;"Planned","",$P449+$Q449)</f>
        <v/>
      </c>
      <c r="U449" s="21" t="str">
        <f aca="false">IF($L449&lt;&gt;"Planned","",$T449+$R449)</f>
        <v/>
      </c>
      <c r="V449" s="8" t="str">
        <f aca="false">IF($A449="","",SUMIFS('Open supply'!$C:$C,'Open supply'!$A:$A,$AF449))</f>
        <v/>
      </c>
      <c r="W449" s="8" t="str">
        <f aca="false">IF($A449="","",SUMIFS('Open supply'!$C:$C,'Open supply'!$A:$A,$AF449,'Open supply'!$B:$B,"&lt;"&amp;PlanDate))</f>
        <v/>
      </c>
      <c r="X449" s="8" t="str">
        <f aca="false">IF($A449="","",SUMIFS('Open demand'!$G:$G,'Open demand'!$A:$A,$AF449))</f>
        <v/>
      </c>
      <c r="Y449" s="8" t="str">
        <f aca="false">IF($L449&lt;&gt;"Planned","",N($H449)+$V449-$X449)</f>
        <v/>
      </c>
      <c r="Z449" s="19" t="str">
        <f aca="false">IF($L449&lt;&gt;"Planned","",IF($Y449&lt;=$S449,"Red",IF($Y449&lt;=$T449,"Yellow",IF($Y449&lt;=$U449,"Green","Above green"))))</f>
        <v/>
      </c>
      <c r="AA449" s="22" t="str">
        <f aca="false">IF(OR($L449&lt;&gt;"Planned",N($U449)&lt;=0),"",$Y449/$U449)</f>
        <v/>
      </c>
      <c r="AB449" s="8" t="str">
        <f aca="false">IF($L449&lt;&gt;"Planned","",IF($Y449&lt;=$T449,ROUNDUP(MAX($U449-$Y449,N($E449))/IF(N($F449)&gt;0,$F449,1)-0.000000001,0)*IF(N($F449)&gt;0,$F449,1),""))</f>
        <v/>
      </c>
      <c r="AC449" s="23" t="str">
        <f aca="false">IF(N($AB449)&gt;0,PlanDate+ROUNDUP($D449,0),"")</f>
        <v/>
      </c>
      <c r="AD449" s="19" t="str">
        <f aca="false">IF($L449&lt;&gt;"Planned","",IF(N($H449)&lt;=0,"Stockout",IF(N($H449)&lt;$S449*0.5,"Critical",IF(N($H449)&lt;=$S449,"Low",IF(N($H449)&gt;$U449,"Over top of green","OK")))))</f>
        <v/>
      </c>
      <c r="AE449" s="8" t="str">
        <f aca="false">IF($A449="","",$A449&amp;"")</f>
        <v/>
      </c>
      <c r="AF449" s="8" t="str">
        <f aca="false">IF($A449="","",SUBSTITUTE(SUBSTITUTE(SUBSTITUTE($A449&amp;"","~","~~"),"*","~*"),"?","~?"))</f>
        <v/>
      </c>
    </row>
    <row r="450" customFormat="false" ht="15" hidden="false" customHeight="false" outlineLevel="0" collapsed="false">
      <c r="A450" s="11"/>
      <c r="B450" s="11"/>
      <c r="C450" s="11"/>
      <c r="D450" s="16"/>
      <c r="E450" s="11"/>
      <c r="F450" s="11"/>
      <c r="G450" s="9"/>
      <c r="H450" s="11"/>
      <c r="I450" s="17"/>
      <c r="J450" s="18" t="str">
        <f aca="false">IF($A450="","",IF(COUNT(Usage!$C:$C)=0,"",MAX(0,SUMIFS(Usage!$C:$C,Usage!$A:$A,$AF450,Usage!$B:$B,"&gt;="&amp;(PlanDate-AduWindow),Usage!$B:$B,"&lt;"&amp;PlanDate))/AduWindow))</f>
        <v/>
      </c>
      <c r="K450" s="18" t="str">
        <f aca="false">IF($A450="","",IF(AND(ISNUMBER($I450),N($I450)&gt;=0),$I450,$J450))</f>
        <v/>
      </c>
      <c r="L450" s="19" t="str">
        <f aca="false">IF($A450="","",IF($K450="","Needs ADU",IF($K450&lt;=0,"No recent demand",IF(N($D450)&lt;=0,"Needs lead time","Planned"))))</f>
        <v/>
      </c>
      <c r="M450" s="8" t="str">
        <f aca="false">IF($A450="","",IF(ISNUMBER(MATCH($C450,Profiles!$A$2:$A$100,0)),$C450,DefaultProfile))</f>
        <v/>
      </c>
      <c r="N450" s="20" t="str">
        <f aca="false">IF($A450="","",INDEX(Profiles!$D$2:$D$100,MATCH($M450,Profiles!$A$2:$A$100,0)))</f>
        <v/>
      </c>
      <c r="O450" s="20" t="str">
        <f aca="false">IF($A450="","",INDEX(Profiles!$E$2:$E$100,MATCH($M450,Profiles!$A$2:$A$100,0)))</f>
        <v/>
      </c>
      <c r="P450" s="21" t="str">
        <f aca="false">IF($L450&lt;&gt;"Planned","",$K450*$D450*$N450*(1+$O450))</f>
        <v/>
      </c>
      <c r="Q450" s="21" t="str">
        <f aca="false">IF($L450&lt;&gt;"Planned","",$K450*$D450)</f>
        <v/>
      </c>
      <c r="R450" s="21" t="str">
        <f aca="false">IF($L450&lt;&gt;"Planned","",MAX(N($E450),$K450*$D450*$N450,$K450*N($G450)))</f>
        <v/>
      </c>
      <c r="S450" s="21" t="str">
        <f aca="false">IF($L450&lt;&gt;"Planned","",$P450)</f>
        <v/>
      </c>
      <c r="T450" s="21" t="str">
        <f aca="false">IF($L450&lt;&gt;"Planned","",$P450+$Q450)</f>
        <v/>
      </c>
      <c r="U450" s="21" t="str">
        <f aca="false">IF($L450&lt;&gt;"Planned","",$T450+$R450)</f>
        <v/>
      </c>
      <c r="V450" s="8" t="str">
        <f aca="false">IF($A450="","",SUMIFS('Open supply'!$C:$C,'Open supply'!$A:$A,$AF450))</f>
        <v/>
      </c>
      <c r="W450" s="8" t="str">
        <f aca="false">IF($A450="","",SUMIFS('Open supply'!$C:$C,'Open supply'!$A:$A,$AF450,'Open supply'!$B:$B,"&lt;"&amp;PlanDate))</f>
        <v/>
      </c>
      <c r="X450" s="8" t="str">
        <f aca="false">IF($A450="","",SUMIFS('Open demand'!$G:$G,'Open demand'!$A:$A,$AF450))</f>
        <v/>
      </c>
      <c r="Y450" s="8" t="str">
        <f aca="false">IF($L450&lt;&gt;"Planned","",N($H450)+$V450-$X450)</f>
        <v/>
      </c>
      <c r="Z450" s="19" t="str">
        <f aca="false">IF($L450&lt;&gt;"Planned","",IF($Y450&lt;=$S450,"Red",IF($Y450&lt;=$T450,"Yellow",IF($Y450&lt;=$U450,"Green","Above green"))))</f>
        <v/>
      </c>
      <c r="AA450" s="22" t="str">
        <f aca="false">IF(OR($L450&lt;&gt;"Planned",N($U450)&lt;=0),"",$Y450/$U450)</f>
        <v/>
      </c>
      <c r="AB450" s="8" t="str">
        <f aca="false">IF($L450&lt;&gt;"Planned","",IF($Y450&lt;=$T450,ROUNDUP(MAX($U450-$Y450,N($E450))/IF(N($F450)&gt;0,$F450,1)-0.000000001,0)*IF(N($F450)&gt;0,$F450,1),""))</f>
        <v/>
      </c>
      <c r="AC450" s="23" t="str">
        <f aca="false">IF(N($AB450)&gt;0,PlanDate+ROUNDUP($D450,0),"")</f>
        <v/>
      </c>
      <c r="AD450" s="19" t="str">
        <f aca="false">IF($L450&lt;&gt;"Planned","",IF(N($H450)&lt;=0,"Stockout",IF(N($H450)&lt;$S450*0.5,"Critical",IF(N($H450)&lt;=$S450,"Low",IF(N($H450)&gt;$U450,"Over top of green","OK")))))</f>
        <v/>
      </c>
      <c r="AE450" s="8" t="str">
        <f aca="false">IF($A450="","",$A450&amp;"")</f>
        <v/>
      </c>
      <c r="AF450" s="8" t="str">
        <f aca="false">IF($A450="","",SUBSTITUTE(SUBSTITUTE(SUBSTITUTE($A450&amp;"","~","~~"),"*","~*"),"?","~?"))</f>
        <v/>
      </c>
    </row>
    <row r="451" customFormat="false" ht="15" hidden="false" customHeight="false" outlineLevel="0" collapsed="false">
      <c r="A451" s="11"/>
      <c r="B451" s="11"/>
      <c r="C451" s="11"/>
      <c r="D451" s="16"/>
      <c r="E451" s="11"/>
      <c r="F451" s="11"/>
      <c r="G451" s="9"/>
      <c r="H451" s="11"/>
      <c r="I451" s="17"/>
      <c r="J451" s="18" t="str">
        <f aca="false">IF($A451="","",IF(COUNT(Usage!$C:$C)=0,"",MAX(0,SUMIFS(Usage!$C:$C,Usage!$A:$A,$AF451,Usage!$B:$B,"&gt;="&amp;(PlanDate-AduWindow),Usage!$B:$B,"&lt;"&amp;PlanDate))/AduWindow))</f>
        <v/>
      </c>
      <c r="K451" s="18" t="str">
        <f aca="false">IF($A451="","",IF(AND(ISNUMBER($I451),N($I451)&gt;=0),$I451,$J451))</f>
        <v/>
      </c>
      <c r="L451" s="19" t="str">
        <f aca="false">IF($A451="","",IF($K451="","Needs ADU",IF($K451&lt;=0,"No recent demand",IF(N($D451)&lt;=0,"Needs lead time","Planned"))))</f>
        <v/>
      </c>
      <c r="M451" s="8" t="str">
        <f aca="false">IF($A451="","",IF(ISNUMBER(MATCH($C451,Profiles!$A$2:$A$100,0)),$C451,DefaultProfile))</f>
        <v/>
      </c>
      <c r="N451" s="20" t="str">
        <f aca="false">IF($A451="","",INDEX(Profiles!$D$2:$D$100,MATCH($M451,Profiles!$A$2:$A$100,0)))</f>
        <v/>
      </c>
      <c r="O451" s="20" t="str">
        <f aca="false">IF($A451="","",INDEX(Profiles!$E$2:$E$100,MATCH($M451,Profiles!$A$2:$A$100,0)))</f>
        <v/>
      </c>
      <c r="P451" s="21" t="str">
        <f aca="false">IF($L451&lt;&gt;"Planned","",$K451*$D451*$N451*(1+$O451))</f>
        <v/>
      </c>
      <c r="Q451" s="21" t="str">
        <f aca="false">IF($L451&lt;&gt;"Planned","",$K451*$D451)</f>
        <v/>
      </c>
      <c r="R451" s="21" t="str">
        <f aca="false">IF($L451&lt;&gt;"Planned","",MAX(N($E451),$K451*$D451*$N451,$K451*N($G451)))</f>
        <v/>
      </c>
      <c r="S451" s="21" t="str">
        <f aca="false">IF($L451&lt;&gt;"Planned","",$P451)</f>
        <v/>
      </c>
      <c r="T451" s="21" t="str">
        <f aca="false">IF($L451&lt;&gt;"Planned","",$P451+$Q451)</f>
        <v/>
      </c>
      <c r="U451" s="21" t="str">
        <f aca="false">IF($L451&lt;&gt;"Planned","",$T451+$R451)</f>
        <v/>
      </c>
      <c r="V451" s="8" t="str">
        <f aca="false">IF($A451="","",SUMIFS('Open supply'!$C:$C,'Open supply'!$A:$A,$AF451))</f>
        <v/>
      </c>
      <c r="W451" s="8" t="str">
        <f aca="false">IF($A451="","",SUMIFS('Open supply'!$C:$C,'Open supply'!$A:$A,$AF451,'Open supply'!$B:$B,"&lt;"&amp;PlanDate))</f>
        <v/>
      </c>
      <c r="X451" s="8" t="str">
        <f aca="false">IF($A451="","",SUMIFS('Open demand'!$G:$G,'Open demand'!$A:$A,$AF451))</f>
        <v/>
      </c>
      <c r="Y451" s="8" t="str">
        <f aca="false">IF($L451&lt;&gt;"Planned","",N($H451)+$V451-$X451)</f>
        <v/>
      </c>
      <c r="Z451" s="19" t="str">
        <f aca="false">IF($L451&lt;&gt;"Planned","",IF($Y451&lt;=$S451,"Red",IF($Y451&lt;=$T451,"Yellow",IF($Y451&lt;=$U451,"Green","Above green"))))</f>
        <v/>
      </c>
      <c r="AA451" s="22" t="str">
        <f aca="false">IF(OR($L451&lt;&gt;"Planned",N($U451)&lt;=0),"",$Y451/$U451)</f>
        <v/>
      </c>
      <c r="AB451" s="8" t="str">
        <f aca="false">IF($L451&lt;&gt;"Planned","",IF($Y451&lt;=$T451,ROUNDUP(MAX($U451-$Y451,N($E451))/IF(N($F451)&gt;0,$F451,1)-0.000000001,0)*IF(N($F451)&gt;0,$F451,1),""))</f>
        <v/>
      </c>
      <c r="AC451" s="23" t="str">
        <f aca="false">IF(N($AB451)&gt;0,PlanDate+ROUNDUP($D451,0),"")</f>
        <v/>
      </c>
      <c r="AD451" s="19" t="str">
        <f aca="false">IF($L451&lt;&gt;"Planned","",IF(N($H451)&lt;=0,"Stockout",IF(N($H451)&lt;$S451*0.5,"Critical",IF(N($H451)&lt;=$S451,"Low",IF(N($H451)&gt;$U451,"Over top of green","OK")))))</f>
        <v/>
      </c>
      <c r="AE451" s="8" t="str">
        <f aca="false">IF($A451="","",$A451&amp;"")</f>
        <v/>
      </c>
      <c r="AF451" s="8" t="str">
        <f aca="false">IF($A451="","",SUBSTITUTE(SUBSTITUTE(SUBSTITUTE($A451&amp;"","~","~~"),"*","~*"),"?","~?"))</f>
        <v/>
      </c>
    </row>
    <row r="452" customFormat="false" ht="15" hidden="false" customHeight="false" outlineLevel="0" collapsed="false">
      <c r="A452" s="11"/>
      <c r="B452" s="11"/>
      <c r="C452" s="11"/>
      <c r="D452" s="16"/>
      <c r="E452" s="11"/>
      <c r="F452" s="11"/>
      <c r="G452" s="9"/>
      <c r="H452" s="11"/>
      <c r="I452" s="17"/>
      <c r="J452" s="18" t="str">
        <f aca="false">IF($A452="","",IF(COUNT(Usage!$C:$C)=0,"",MAX(0,SUMIFS(Usage!$C:$C,Usage!$A:$A,$AF452,Usage!$B:$B,"&gt;="&amp;(PlanDate-AduWindow),Usage!$B:$B,"&lt;"&amp;PlanDate))/AduWindow))</f>
        <v/>
      </c>
      <c r="K452" s="18" t="str">
        <f aca="false">IF($A452="","",IF(AND(ISNUMBER($I452),N($I452)&gt;=0),$I452,$J452))</f>
        <v/>
      </c>
      <c r="L452" s="19" t="str">
        <f aca="false">IF($A452="","",IF($K452="","Needs ADU",IF($K452&lt;=0,"No recent demand",IF(N($D452)&lt;=0,"Needs lead time","Planned"))))</f>
        <v/>
      </c>
      <c r="M452" s="8" t="str">
        <f aca="false">IF($A452="","",IF(ISNUMBER(MATCH($C452,Profiles!$A$2:$A$100,0)),$C452,DefaultProfile))</f>
        <v/>
      </c>
      <c r="N452" s="20" t="str">
        <f aca="false">IF($A452="","",INDEX(Profiles!$D$2:$D$100,MATCH($M452,Profiles!$A$2:$A$100,0)))</f>
        <v/>
      </c>
      <c r="O452" s="20" t="str">
        <f aca="false">IF($A452="","",INDEX(Profiles!$E$2:$E$100,MATCH($M452,Profiles!$A$2:$A$100,0)))</f>
        <v/>
      </c>
      <c r="P452" s="21" t="str">
        <f aca="false">IF($L452&lt;&gt;"Planned","",$K452*$D452*$N452*(1+$O452))</f>
        <v/>
      </c>
      <c r="Q452" s="21" t="str">
        <f aca="false">IF($L452&lt;&gt;"Planned","",$K452*$D452)</f>
        <v/>
      </c>
      <c r="R452" s="21" t="str">
        <f aca="false">IF($L452&lt;&gt;"Planned","",MAX(N($E452),$K452*$D452*$N452,$K452*N($G452)))</f>
        <v/>
      </c>
      <c r="S452" s="21" t="str">
        <f aca="false">IF($L452&lt;&gt;"Planned","",$P452)</f>
        <v/>
      </c>
      <c r="T452" s="21" t="str">
        <f aca="false">IF($L452&lt;&gt;"Planned","",$P452+$Q452)</f>
        <v/>
      </c>
      <c r="U452" s="21" t="str">
        <f aca="false">IF($L452&lt;&gt;"Planned","",$T452+$R452)</f>
        <v/>
      </c>
      <c r="V452" s="8" t="str">
        <f aca="false">IF($A452="","",SUMIFS('Open supply'!$C:$C,'Open supply'!$A:$A,$AF452))</f>
        <v/>
      </c>
      <c r="W452" s="8" t="str">
        <f aca="false">IF($A452="","",SUMIFS('Open supply'!$C:$C,'Open supply'!$A:$A,$AF452,'Open supply'!$B:$B,"&lt;"&amp;PlanDate))</f>
        <v/>
      </c>
      <c r="X452" s="8" t="str">
        <f aca="false">IF($A452="","",SUMIFS('Open demand'!$G:$G,'Open demand'!$A:$A,$AF452))</f>
        <v/>
      </c>
      <c r="Y452" s="8" t="str">
        <f aca="false">IF($L452&lt;&gt;"Planned","",N($H452)+$V452-$X452)</f>
        <v/>
      </c>
      <c r="Z452" s="19" t="str">
        <f aca="false">IF($L452&lt;&gt;"Planned","",IF($Y452&lt;=$S452,"Red",IF($Y452&lt;=$T452,"Yellow",IF($Y452&lt;=$U452,"Green","Above green"))))</f>
        <v/>
      </c>
      <c r="AA452" s="22" t="str">
        <f aca="false">IF(OR($L452&lt;&gt;"Planned",N($U452)&lt;=0),"",$Y452/$U452)</f>
        <v/>
      </c>
      <c r="AB452" s="8" t="str">
        <f aca="false">IF($L452&lt;&gt;"Planned","",IF($Y452&lt;=$T452,ROUNDUP(MAX($U452-$Y452,N($E452))/IF(N($F452)&gt;0,$F452,1)-0.000000001,0)*IF(N($F452)&gt;0,$F452,1),""))</f>
        <v/>
      </c>
      <c r="AC452" s="23" t="str">
        <f aca="false">IF(N($AB452)&gt;0,PlanDate+ROUNDUP($D452,0),"")</f>
        <v/>
      </c>
      <c r="AD452" s="19" t="str">
        <f aca="false">IF($L452&lt;&gt;"Planned","",IF(N($H452)&lt;=0,"Stockout",IF(N($H452)&lt;$S452*0.5,"Critical",IF(N($H452)&lt;=$S452,"Low",IF(N($H452)&gt;$U452,"Over top of green","OK")))))</f>
        <v/>
      </c>
      <c r="AE452" s="8" t="str">
        <f aca="false">IF($A452="","",$A452&amp;"")</f>
        <v/>
      </c>
      <c r="AF452" s="8" t="str">
        <f aca="false">IF($A452="","",SUBSTITUTE(SUBSTITUTE(SUBSTITUTE($A452&amp;"","~","~~"),"*","~*"),"?","~?"))</f>
        <v/>
      </c>
    </row>
    <row r="453" customFormat="false" ht="15" hidden="false" customHeight="false" outlineLevel="0" collapsed="false">
      <c r="A453" s="11"/>
      <c r="B453" s="11"/>
      <c r="C453" s="11"/>
      <c r="D453" s="16"/>
      <c r="E453" s="11"/>
      <c r="F453" s="11"/>
      <c r="G453" s="9"/>
      <c r="H453" s="11"/>
      <c r="I453" s="17"/>
      <c r="J453" s="18" t="str">
        <f aca="false">IF($A453="","",IF(COUNT(Usage!$C:$C)=0,"",MAX(0,SUMIFS(Usage!$C:$C,Usage!$A:$A,$AF453,Usage!$B:$B,"&gt;="&amp;(PlanDate-AduWindow),Usage!$B:$B,"&lt;"&amp;PlanDate))/AduWindow))</f>
        <v/>
      </c>
      <c r="K453" s="18" t="str">
        <f aca="false">IF($A453="","",IF(AND(ISNUMBER($I453),N($I453)&gt;=0),$I453,$J453))</f>
        <v/>
      </c>
      <c r="L453" s="19" t="str">
        <f aca="false">IF($A453="","",IF($K453="","Needs ADU",IF($K453&lt;=0,"No recent demand",IF(N($D453)&lt;=0,"Needs lead time","Planned"))))</f>
        <v/>
      </c>
      <c r="M453" s="8" t="str">
        <f aca="false">IF($A453="","",IF(ISNUMBER(MATCH($C453,Profiles!$A$2:$A$100,0)),$C453,DefaultProfile))</f>
        <v/>
      </c>
      <c r="N453" s="20" t="str">
        <f aca="false">IF($A453="","",INDEX(Profiles!$D$2:$D$100,MATCH($M453,Profiles!$A$2:$A$100,0)))</f>
        <v/>
      </c>
      <c r="O453" s="20" t="str">
        <f aca="false">IF($A453="","",INDEX(Profiles!$E$2:$E$100,MATCH($M453,Profiles!$A$2:$A$100,0)))</f>
        <v/>
      </c>
      <c r="P453" s="21" t="str">
        <f aca="false">IF($L453&lt;&gt;"Planned","",$K453*$D453*$N453*(1+$O453))</f>
        <v/>
      </c>
      <c r="Q453" s="21" t="str">
        <f aca="false">IF($L453&lt;&gt;"Planned","",$K453*$D453)</f>
        <v/>
      </c>
      <c r="R453" s="21" t="str">
        <f aca="false">IF($L453&lt;&gt;"Planned","",MAX(N($E453),$K453*$D453*$N453,$K453*N($G453)))</f>
        <v/>
      </c>
      <c r="S453" s="21" t="str">
        <f aca="false">IF($L453&lt;&gt;"Planned","",$P453)</f>
        <v/>
      </c>
      <c r="T453" s="21" t="str">
        <f aca="false">IF($L453&lt;&gt;"Planned","",$P453+$Q453)</f>
        <v/>
      </c>
      <c r="U453" s="21" t="str">
        <f aca="false">IF($L453&lt;&gt;"Planned","",$T453+$R453)</f>
        <v/>
      </c>
      <c r="V453" s="8" t="str">
        <f aca="false">IF($A453="","",SUMIFS('Open supply'!$C:$C,'Open supply'!$A:$A,$AF453))</f>
        <v/>
      </c>
      <c r="W453" s="8" t="str">
        <f aca="false">IF($A453="","",SUMIFS('Open supply'!$C:$C,'Open supply'!$A:$A,$AF453,'Open supply'!$B:$B,"&lt;"&amp;PlanDate))</f>
        <v/>
      </c>
      <c r="X453" s="8" t="str">
        <f aca="false">IF($A453="","",SUMIFS('Open demand'!$G:$G,'Open demand'!$A:$A,$AF453))</f>
        <v/>
      </c>
      <c r="Y453" s="8" t="str">
        <f aca="false">IF($L453&lt;&gt;"Planned","",N($H453)+$V453-$X453)</f>
        <v/>
      </c>
      <c r="Z453" s="19" t="str">
        <f aca="false">IF($L453&lt;&gt;"Planned","",IF($Y453&lt;=$S453,"Red",IF($Y453&lt;=$T453,"Yellow",IF($Y453&lt;=$U453,"Green","Above green"))))</f>
        <v/>
      </c>
      <c r="AA453" s="22" t="str">
        <f aca="false">IF(OR($L453&lt;&gt;"Planned",N($U453)&lt;=0),"",$Y453/$U453)</f>
        <v/>
      </c>
      <c r="AB453" s="8" t="str">
        <f aca="false">IF($L453&lt;&gt;"Planned","",IF($Y453&lt;=$T453,ROUNDUP(MAX($U453-$Y453,N($E453))/IF(N($F453)&gt;0,$F453,1)-0.000000001,0)*IF(N($F453)&gt;0,$F453,1),""))</f>
        <v/>
      </c>
      <c r="AC453" s="23" t="str">
        <f aca="false">IF(N($AB453)&gt;0,PlanDate+ROUNDUP($D453,0),"")</f>
        <v/>
      </c>
      <c r="AD453" s="19" t="str">
        <f aca="false">IF($L453&lt;&gt;"Planned","",IF(N($H453)&lt;=0,"Stockout",IF(N($H453)&lt;$S453*0.5,"Critical",IF(N($H453)&lt;=$S453,"Low",IF(N($H453)&gt;$U453,"Over top of green","OK")))))</f>
        <v/>
      </c>
      <c r="AE453" s="8" t="str">
        <f aca="false">IF($A453="","",$A453&amp;"")</f>
        <v/>
      </c>
      <c r="AF453" s="8" t="str">
        <f aca="false">IF($A453="","",SUBSTITUTE(SUBSTITUTE(SUBSTITUTE($A453&amp;"","~","~~"),"*","~*"),"?","~?"))</f>
        <v/>
      </c>
    </row>
    <row r="454" customFormat="false" ht="15" hidden="false" customHeight="false" outlineLevel="0" collapsed="false">
      <c r="A454" s="11"/>
      <c r="B454" s="11"/>
      <c r="C454" s="11"/>
      <c r="D454" s="16"/>
      <c r="E454" s="11"/>
      <c r="F454" s="11"/>
      <c r="G454" s="9"/>
      <c r="H454" s="11"/>
      <c r="I454" s="17"/>
      <c r="J454" s="18" t="str">
        <f aca="false">IF($A454="","",IF(COUNT(Usage!$C:$C)=0,"",MAX(0,SUMIFS(Usage!$C:$C,Usage!$A:$A,$AF454,Usage!$B:$B,"&gt;="&amp;(PlanDate-AduWindow),Usage!$B:$B,"&lt;"&amp;PlanDate))/AduWindow))</f>
        <v/>
      </c>
      <c r="K454" s="18" t="str">
        <f aca="false">IF($A454="","",IF(AND(ISNUMBER($I454),N($I454)&gt;=0),$I454,$J454))</f>
        <v/>
      </c>
      <c r="L454" s="19" t="str">
        <f aca="false">IF($A454="","",IF($K454="","Needs ADU",IF($K454&lt;=0,"No recent demand",IF(N($D454)&lt;=0,"Needs lead time","Planned"))))</f>
        <v/>
      </c>
      <c r="M454" s="8" t="str">
        <f aca="false">IF($A454="","",IF(ISNUMBER(MATCH($C454,Profiles!$A$2:$A$100,0)),$C454,DefaultProfile))</f>
        <v/>
      </c>
      <c r="N454" s="20" t="str">
        <f aca="false">IF($A454="","",INDEX(Profiles!$D$2:$D$100,MATCH($M454,Profiles!$A$2:$A$100,0)))</f>
        <v/>
      </c>
      <c r="O454" s="20" t="str">
        <f aca="false">IF($A454="","",INDEX(Profiles!$E$2:$E$100,MATCH($M454,Profiles!$A$2:$A$100,0)))</f>
        <v/>
      </c>
      <c r="P454" s="21" t="str">
        <f aca="false">IF($L454&lt;&gt;"Planned","",$K454*$D454*$N454*(1+$O454))</f>
        <v/>
      </c>
      <c r="Q454" s="21" t="str">
        <f aca="false">IF($L454&lt;&gt;"Planned","",$K454*$D454)</f>
        <v/>
      </c>
      <c r="R454" s="21" t="str">
        <f aca="false">IF($L454&lt;&gt;"Planned","",MAX(N($E454),$K454*$D454*$N454,$K454*N($G454)))</f>
        <v/>
      </c>
      <c r="S454" s="21" t="str">
        <f aca="false">IF($L454&lt;&gt;"Planned","",$P454)</f>
        <v/>
      </c>
      <c r="T454" s="21" t="str">
        <f aca="false">IF($L454&lt;&gt;"Planned","",$P454+$Q454)</f>
        <v/>
      </c>
      <c r="U454" s="21" t="str">
        <f aca="false">IF($L454&lt;&gt;"Planned","",$T454+$R454)</f>
        <v/>
      </c>
      <c r="V454" s="8" t="str">
        <f aca="false">IF($A454="","",SUMIFS('Open supply'!$C:$C,'Open supply'!$A:$A,$AF454))</f>
        <v/>
      </c>
      <c r="W454" s="8" t="str">
        <f aca="false">IF($A454="","",SUMIFS('Open supply'!$C:$C,'Open supply'!$A:$A,$AF454,'Open supply'!$B:$B,"&lt;"&amp;PlanDate))</f>
        <v/>
      </c>
      <c r="X454" s="8" t="str">
        <f aca="false">IF($A454="","",SUMIFS('Open demand'!$G:$G,'Open demand'!$A:$A,$AF454))</f>
        <v/>
      </c>
      <c r="Y454" s="8" t="str">
        <f aca="false">IF($L454&lt;&gt;"Planned","",N($H454)+$V454-$X454)</f>
        <v/>
      </c>
      <c r="Z454" s="19" t="str">
        <f aca="false">IF($L454&lt;&gt;"Planned","",IF($Y454&lt;=$S454,"Red",IF($Y454&lt;=$T454,"Yellow",IF($Y454&lt;=$U454,"Green","Above green"))))</f>
        <v/>
      </c>
      <c r="AA454" s="22" t="str">
        <f aca="false">IF(OR($L454&lt;&gt;"Planned",N($U454)&lt;=0),"",$Y454/$U454)</f>
        <v/>
      </c>
      <c r="AB454" s="8" t="str">
        <f aca="false">IF($L454&lt;&gt;"Planned","",IF($Y454&lt;=$T454,ROUNDUP(MAX($U454-$Y454,N($E454))/IF(N($F454)&gt;0,$F454,1)-0.000000001,0)*IF(N($F454)&gt;0,$F454,1),""))</f>
        <v/>
      </c>
      <c r="AC454" s="23" t="str">
        <f aca="false">IF(N($AB454)&gt;0,PlanDate+ROUNDUP($D454,0),"")</f>
        <v/>
      </c>
      <c r="AD454" s="19" t="str">
        <f aca="false">IF($L454&lt;&gt;"Planned","",IF(N($H454)&lt;=0,"Stockout",IF(N($H454)&lt;$S454*0.5,"Critical",IF(N($H454)&lt;=$S454,"Low",IF(N($H454)&gt;$U454,"Over top of green","OK")))))</f>
        <v/>
      </c>
      <c r="AE454" s="8" t="str">
        <f aca="false">IF($A454="","",$A454&amp;"")</f>
        <v/>
      </c>
      <c r="AF454" s="8" t="str">
        <f aca="false">IF($A454="","",SUBSTITUTE(SUBSTITUTE(SUBSTITUTE($A454&amp;"","~","~~"),"*","~*"),"?","~?"))</f>
        <v/>
      </c>
    </row>
    <row r="455" customFormat="false" ht="15" hidden="false" customHeight="false" outlineLevel="0" collapsed="false">
      <c r="A455" s="11"/>
      <c r="B455" s="11"/>
      <c r="C455" s="11"/>
      <c r="D455" s="16"/>
      <c r="E455" s="11"/>
      <c r="F455" s="11"/>
      <c r="G455" s="9"/>
      <c r="H455" s="11"/>
      <c r="I455" s="17"/>
      <c r="J455" s="18" t="str">
        <f aca="false">IF($A455="","",IF(COUNT(Usage!$C:$C)=0,"",MAX(0,SUMIFS(Usage!$C:$C,Usage!$A:$A,$AF455,Usage!$B:$B,"&gt;="&amp;(PlanDate-AduWindow),Usage!$B:$B,"&lt;"&amp;PlanDate))/AduWindow))</f>
        <v/>
      </c>
      <c r="K455" s="18" t="str">
        <f aca="false">IF($A455="","",IF(AND(ISNUMBER($I455),N($I455)&gt;=0),$I455,$J455))</f>
        <v/>
      </c>
      <c r="L455" s="19" t="str">
        <f aca="false">IF($A455="","",IF($K455="","Needs ADU",IF($K455&lt;=0,"No recent demand",IF(N($D455)&lt;=0,"Needs lead time","Planned"))))</f>
        <v/>
      </c>
      <c r="M455" s="8" t="str">
        <f aca="false">IF($A455="","",IF(ISNUMBER(MATCH($C455,Profiles!$A$2:$A$100,0)),$C455,DefaultProfile))</f>
        <v/>
      </c>
      <c r="N455" s="20" t="str">
        <f aca="false">IF($A455="","",INDEX(Profiles!$D$2:$D$100,MATCH($M455,Profiles!$A$2:$A$100,0)))</f>
        <v/>
      </c>
      <c r="O455" s="20" t="str">
        <f aca="false">IF($A455="","",INDEX(Profiles!$E$2:$E$100,MATCH($M455,Profiles!$A$2:$A$100,0)))</f>
        <v/>
      </c>
      <c r="P455" s="21" t="str">
        <f aca="false">IF($L455&lt;&gt;"Planned","",$K455*$D455*$N455*(1+$O455))</f>
        <v/>
      </c>
      <c r="Q455" s="21" t="str">
        <f aca="false">IF($L455&lt;&gt;"Planned","",$K455*$D455)</f>
        <v/>
      </c>
      <c r="R455" s="21" t="str">
        <f aca="false">IF($L455&lt;&gt;"Planned","",MAX(N($E455),$K455*$D455*$N455,$K455*N($G455)))</f>
        <v/>
      </c>
      <c r="S455" s="21" t="str">
        <f aca="false">IF($L455&lt;&gt;"Planned","",$P455)</f>
        <v/>
      </c>
      <c r="T455" s="21" t="str">
        <f aca="false">IF($L455&lt;&gt;"Planned","",$P455+$Q455)</f>
        <v/>
      </c>
      <c r="U455" s="21" t="str">
        <f aca="false">IF($L455&lt;&gt;"Planned","",$T455+$R455)</f>
        <v/>
      </c>
      <c r="V455" s="8" t="str">
        <f aca="false">IF($A455="","",SUMIFS('Open supply'!$C:$C,'Open supply'!$A:$A,$AF455))</f>
        <v/>
      </c>
      <c r="W455" s="8" t="str">
        <f aca="false">IF($A455="","",SUMIFS('Open supply'!$C:$C,'Open supply'!$A:$A,$AF455,'Open supply'!$B:$B,"&lt;"&amp;PlanDate))</f>
        <v/>
      </c>
      <c r="X455" s="8" t="str">
        <f aca="false">IF($A455="","",SUMIFS('Open demand'!$G:$G,'Open demand'!$A:$A,$AF455))</f>
        <v/>
      </c>
      <c r="Y455" s="8" t="str">
        <f aca="false">IF($L455&lt;&gt;"Planned","",N($H455)+$V455-$X455)</f>
        <v/>
      </c>
      <c r="Z455" s="19" t="str">
        <f aca="false">IF($L455&lt;&gt;"Planned","",IF($Y455&lt;=$S455,"Red",IF($Y455&lt;=$T455,"Yellow",IF($Y455&lt;=$U455,"Green","Above green"))))</f>
        <v/>
      </c>
      <c r="AA455" s="22" t="str">
        <f aca="false">IF(OR($L455&lt;&gt;"Planned",N($U455)&lt;=0),"",$Y455/$U455)</f>
        <v/>
      </c>
      <c r="AB455" s="8" t="str">
        <f aca="false">IF($L455&lt;&gt;"Planned","",IF($Y455&lt;=$T455,ROUNDUP(MAX($U455-$Y455,N($E455))/IF(N($F455)&gt;0,$F455,1)-0.000000001,0)*IF(N($F455)&gt;0,$F455,1),""))</f>
        <v/>
      </c>
      <c r="AC455" s="23" t="str">
        <f aca="false">IF(N($AB455)&gt;0,PlanDate+ROUNDUP($D455,0),"")</f>
        <v/>
      </c>
      <c r="AD455" s="19" t="str">
        <f aca="false">IF($L455&lt;&gt;"Planned","",IF(N($H455)&lt;=0,"Stockout",IF(N($H455)&lt;$S455*0.5,"Critical",IF(N($H455)&lt;=$S455,"Low",IF(N($H455)&gt;$U455,"Over top of green","OK")))))</f>
        <v/>
      </c>
      <c r="AE455" s="8" t="str">
        <f aca="false">IF($A455="","",$A455&amp;"")</f>
        <v/>
      </c>
      <c r="AF455" s="8" t="str">
        <f aca="false">IF($A455="","",SUBSTITUTE(SUBSTITUTE(SUBSTITUTE($A455&amp;"","~","~~"),"*","~*"),"?","~?"))</f>
        <v/>
      </c>
    </row>
    <row r="456" customFormat="false" ht="15" hidden="false" customHeight="false" outlineLevel="0" collapsed="false">
      <c r="A456" s="11"/>
      <c r="B456" s="11"/>
      <c r="C456" s="11"/>
      <c r="D456" s="16"/>
      <c r="E456" s="11"/>
      <c r="F456" s="11"/>
      <c r="G456" s="9"/>
      <c r="H456" s="11"/>
      <c r="I456" s="17"/>
      <c r="J456" s="18" t="str">
        <f aca="false">IF($A456="","",IF(COUNT(Usage!$C:$C)=0,"",MAX(0,SUMIFS(Usage!$C:$C,Usage!$A:$A,$AF456,Usage!$B:$B,"&gt;="&amp;(PlanDate-AduWindow),Usage!$B:$B,"&lt;"&amp;PlanDate))/AduWindow))</f>
        <v/>
      </c>
      <c r="K456" s="18" t="str">
        <f aca="false">IF($A456="","",IF(AND(ISNUMBER($I456),N($I456)&gt;=0),$I456,$J456))</f>
        <v/>
      </c>
      <c r="L456" s="19" t="str">
        <f aca="false">IF($A456="","",IF($K456="","Needs ADU",IF($K456&lt;=0,"No recent demand",IF(N($D456)&lt;=0,"Needs lead time","Planned"))))</f>
        <v/>
      </c>
      <c r="M456" s="8" t="str">
        <f aca="false">IF($A456="","",IF(ISNUMBER(MATCH($C456,Profiles!$A$2:$A$100,0)),$C456,DefaultProfile))</f>
        <v/>
      </c>
      <c r="N456" s="20" t="str">
        <f aca="false">IF($A456="","",INDEX(Profiles!$D$2:$D$100,MATCH($M456,Profiles!$A$2:$A$100,0)))</f>
        <v/>
      </c>
      <c r="O456" s="20" t="str">
        <f aca="false">IF($A456="","",INDEX(Profiles!$E$2:$E$100,MATCH($M456,Profiles!$A$2:$A$100,0)))</f>
        <v/>
      </c>
      <c r="P456" s="21" t="str">
        <f aca="false">IF($L456&lt;&gt;"Planned","",$K456*$D456*$N456*(1+$O456))</f>
        <v/>
      </c>
      <c r="Q456" s="21" t="str">
        <f aca="false">IF($L456&lt;&gt;"Planned","",$K456*$D456)</f>
        <v/>
      </c>
      <c r="R456" s="21" t="str">
        <f aca="false">IF($L456&lt;&gt;"Planned","",MAX(N($E456),$K456*$D456*$N456,$K456*N($G456)))</f>
        <v/>
      </c>
      <c r="S456" s="21" t="str">
        <f aca="false">IF($L456&lt;&gt;"Planned","",$P456)</f>
        <v/>
      </c>
      <c r="T456" s="21" t="str">
        <f aca="false">IF($L456&lt;&gt;"Planned","",$P456+$Q456)</f>
        <v/>
      </c>
      <c r="U456" s="21" t="str">
        <f aca="false">IF($L456&lt;&gt;"Planned","",$T456+$R456)</f>
        <v/>
      </c>
      <c r="V456" s="8" t="str">
        <f aca="false">IF($A456="","",SUMIFS('Open supply'!$C:$C,'Open supply'!$A:$A,$AF456))</f>
        <v/>
      </c>
      <c r="W456" s="8" t="str">
        <f aca="false">IF($A456="","",SUMIFS('Open supply'!$C:$C,'Open supply'!$A:$A,$AF456,'Open supply'!$B:$B,"&lt;"&amp;PlanDate))</f>
        <v/>
      </c>
      <c r="X456" s="8" t="str">
        <f aca="false">IF($A456="","",SUMIFS('Open demand'!$G:$G,'Open demand'!$A:$A,$AF456))</f>
        <v/>
      </c>
      <c r="Y456" s="8" t="str">
        <f aca="false">IF($L456&lt;&gt;"Planned","",N($H456)+$V456-$X456)</f>
        <v/>
      </c>
      <c r="Z456" s="19" t="str">
        <f aca="false">IF($L456&lt;&gt;"Planned","",IF($Y456&lt;=$S456,"Red",IF($Y456&lt;=$T456,"Yellow",IF($Y456&lt;=$U456,"Green","Above green"))))</f>
        <v/>
      </c>
      <c r="AA456" s="22" t="str">
        <f aca="false">IF(OR($L456&lt;&gt;"Planned",N($U456)&lt;=0),"",$Y456/$U456)</f>
        <v/>
      </c>
      <c r="AB456" s="8" t="str">
        <f aca="false">IF($L456&lt;&gt;"Planned","",IF($Y456&lt;=$T456,ROUNDUP(MAX($U456-$Y456,N($E456))/IF(N($F456)&gt;0,$F456,1)-0.000000001,0)*IF(N($F456)&gt;0,$F456,1),""))</f>
        <v/>
      </c>
      <c r="AC456" s="23" t="str">
        <f aca="false">IF(N($AB456)&gt;0,PlanDate+ROUNDUP($D456,0),"")</f>
        <v/>
      </c>
      <c r="AD456" s="19" t="str">
        <f aca="false">IF($L456&lt;&gt;"Planned","",IF(N($H456)&lt;=0,"Stockout",IF(N($H456)&lt;$S456*0.5,"Critical",IF(N($H456)&lt;=$S456,"Low",IF(N($H456)&gt;$U456,"Over top of green","OK")))))</f>
        <v/>
      </c>
      <c r="AE456" s="8" t="str">
        <f aca="false">IF($A456="","",$A456&amp;"")</f>
        <v/>
      </c>
      <c r="AF456" s="8" t="str">
        <f aca="false">IF($A456="","",SUBSTITUTE(SUBSTITUTE(SUBSTITUTE($A456&amp;"","~","~~"),"*","~*"),"?","~?"))</f>
        <v/>
      </c>
    </row>
    <row r="457" customFormat="false" ht="15" hidden="false" customHeight="false" outlineLevel="0" collapsed="false">
      <c r="A457" s="11"/>
      <c r="B457" s="11"/>
      <c r="C457" s="11"/>
      <c r="D457" s="16"/>
      <c r="E457" s="11"/>
      <c r="F457" s="11"/>
      <c r="G457" s="9"/>
      <c r="H457" s="11"/>
      <c r="I457" s="17"/>
      <c r="J457" s="18" t="str">
        <f aca="false">IF($A457="","",IF(COUNT(Usage!$C:$C)=0,"",MAX(0,SUMIFS(Usage!$C:$C,Usage!$A:$A,$AF457,Usage!$B:$B,"&gt;="&amp;(PlanDate-AduWindow),Usage!$B:$B,"&lt;"&amp;PlanDate))/AduWindow))</f>
        <v/>
      </c>
      <c r="K457" s="18" t="str">
        <f aca="false">IF($A457="","",IF(AND(ISNUMBER($I457),N($I457)&gt;=0),$I457,$J457))</f>
        <v/>
      </c>
      <c r="L457" s="19" t="str">
        <f aca="false">IF($A457="","",IF($K457="","Needs ADU",IF($K457&lt;=0,"No recent demand",IF(N($D457)&lt;=0,"Needs lead time","Planned"))))</f>
        <v/>
      </c>
      <c r="M457" s="8" t="str">
        <f aca="false">IF($A457="","",IF(ISNUMBER(MATCH($C457,Profiles!$A$2:$A$100,0)),$C457,DefaultProfile))</f>
        <v/>
      </c>
      <c r="N457" s="20" t="str">
        <f aca="false">IF($A457="","",INDEX(Profiles!$D$2:$D$100,MATCH($M457,Profiles!$A$2:$A$100,0)))</f>
        <v/>
      </c>
      <c r="O457" s="20" t="str">
        <f aca="false">IF($A457="","",INDEX(Profiles!$E$2:$E$100,MATCH($M457,Profiles!$A$2:$A$100,0)))</f>
        <v/>
      </c>
      <c r="P457" s="21" t="str">
        <f aca="false">IF($L457&lt;&gt;"Planned","",$K457*$D457*$N457*(1+$O457))</f>
        <v/>
      </c>
      <c r="Q457" s="21" t="str">
        <f aca="false">IF($L457&lt;&gt;"Planned","",$K457*$D457)</f>
        <v/>
      </c>
      <c r="R457" s="21" t="str">
        <f aca="false">IF($L457&lt;&gt;"Planned","",MAX(N($E457),$K457*$D457*$N457,$K457*N($G457)))</f>
        <v/>
      </c>
      <c r="S457" s="21" t="str">
        <f aca="false">IF($L457&lt;&gt;"Planned","",$P457)</f>
        <v/>
      </c>
      <c r="T457" s="21" t="str">
        <f aca="false">IF($L457&lt;&gt;"Planned","",$P457+$Q457)</f>
        <v/>
      </c>
      <c r="U457" s="21" t="str">
        <f aca="false">IF($L457&lt;&gt;"Planned","",$T457+$R457)</f>
        <v/>
      </c>
      <c r="V457" s="8" t="str">
        <f aca="false">IF($A457="","",SUMIFS('Open supply'!$C:$C,'Open supply'!$A:$A,$AF457))</f>
        <v/>
      </c>
      <c r="W457" s="8" t="str">
        <f aca="false">IF($A457="","",SUMIFS('Open supply'!$C:$C,'Open supply'!$A:$A,$AF457,'Open supply'!$B:$B,"&lt;"&amp;PlanDate))</f>
        <v/>
      </c>
      <c r="X457" s="8" t="str">
        <f aca="false">IF($A457="","",SUMIFS('Open demand'!$G:$G,'Open demand'!$A:$A,$AF457))</f>
        <v/>
      </c>
      <c r="Y457" s="8" t="str">
        <f aca="false">IF($L457&lt;&gt;"Planned","",N($H457)+$V457-$X457)</f>
        <v/>
      </c>
      <c r="Z457" s="19" t="str">
        <f aca="false">IF($L457&lt;&gt;"Planned","",IF($Y457&lt;=$S457,"Red",IF($Y457&lt;=$T457,"Yellow",IF($Y457&lt;=$U457,"Green","Above green"))))</f>
        <v/>
      </c>
      <c r="AA457" s="22" t="str">
        <f aca="false">IF(OR($L457&lt;&gt;"Planned",N($U457)&lt;=0),"",$Y457/$U457)</f>
        <v/>
      </c>
      <c r="AB457" s="8" t="str">
        <f aca="false">IF($L457&lt;&gt;"Planned","",IF($Y457&lt;=$T457,ROUNDUP(MAX($U457-$Y457,N($E457))/IF(N($F457)&gt;0,$F457,1)-0.000000001,0)*IF(N($F457)&gt;0,$F457,1),""))</f>
        <v/>
      </c>
      <c r="AC457" s="23" t="str">
        <f aca="false">IF(N($AB457)&gt;0,PlanDate+ROUNDUP($D457,0),"")</f>
        <v/>
      </c>
      <c r="AD457" s="19" t="str">
        <f aca="false">IF($L457&lt;&gt;"Planned","",IF(N($H457)&lt;=0,"Stockout",IF(N($H457)&lt;$S457*0.5,"Critical",IF(N($H457)&lt;=$S457,"Low",IF(N($H457)&gt;$U457,"Over top of green","OK")))))</f>
        <v/>
      </c>
      <c r="AE457" s="8" t="str">
        <f aca="false">IF($A457="","",$A457&amp;"")</f>
        <v/>
      </c>
      <c r="AF457" s="8" t="str">
        <f aca="false">IF($A457="","",SUBSTITUTE(SUBSTITUTE(SUBSTITUTE($A457&amp;"","~","~~"),"*","~*"),"?","~?"))</f>
        <v/>
      </c>
    </row>
    <row r="458" customFormat="false" ht="15" hidden="false" customHeight="false" outlineLevel="0" collapsed="false">
      <c r="A458" s="11"/>
      <c r="B458" s="11"/>
      <c r="C458" s="11"/>
      <c r="D458" s="16"/>
      <c r="E458" s="11"/>
      <c r="F458" s="11"/>
      <c r="G458" s="9"/>
      <c r="H458" s="11"/>
      <c r="I458" s="17"/>
      <c r="J458" s="18" t="str">
        <f aca="false">IF($A458="","",IF(COUNT(Usage!$C:$C)=0,"",MAX(0,SUMIFS(Usage!$C:$C,Usage!$A:$A,$AF458,Usage!$B:$B,"&gt;="&amp;(PlanDate-AduWindow),Usage!$B:$B,"&lt;"&amp;PlanDate))/AduWindow))</f>
        <v/>
      </c>
      <c r="K458" s="18" t="str">
        <f aca="false">IF($A458="","",IF(AND(ISNUMBER($I458),N($I458)&gt;=0),$I458,$J458))</f>
        <v/>
      </c>
      <c r="L458" s="19" t="str">
        <f aca="false">IF($A458="","",IF($K458="","Needs ADU",IF($K458&lt;=0,"No recent demand",IF(N($D458)&lt;=0,"Needs lead time","Planned"))))</f>
        <v/>
      </c>
      <c r="M458" s="8" t="str">
        <f aca="false">IF($A458="","",IF(ISNUMBER(MATCH($C458,Profiles!$A$2:$A$100,0)),$C458,DefaultProfile))</f>
        <v/>
      </c>
      <c r="N458" s="20" t="str">
        <f aca="false">IF($A458="","",INDEX(Profiles!$D$2:$D$100,MATCH($M458,Profiles!$A$2:$A$100,0)))</f>
        <v/>
      </c>
      <c r="O458" s="20" t="str">
        <f aca="false">IF($A458="","",INDEX(Profiles!$E$2:$E$100,MATCH($M458,Profiles!$A$2:$A$100,0)))</f>
        <v/>
      </c>
      <c r="P458" s="21" t="str">
        <f aca="false">IF($L458&lt;&gt;"Planned","",$K458*$D458*$N458*(1+$O458))</f>
        <v/>
      </c>
      <c r="Q458" s="21" t="str">
        <f aca="false">IF($L458&lt;&gt;"Planned","",$K458*$D458)</f>
        <v/>
      </c>
      <c r="R458" s="21" t="str">
        <f aca="false">IF($L458&lt;&gt;"Planned","",MAX(N($E458),$K458*$D458*$N458,$K458*N($G458)))</f>
        <v/>
      </c>
      <c r="S458" s="21" t="str">
        <f aca="false">IF($L458&lt;&gt;"Planned","",$P458)</f>
        <v/>
      </c>
      <c r="T458" s="21" t="str">
        <f aca="false">IF($L458&lt;&gt;"Planned","",$P458+$Q458)</f>
        <v/>
      </c>
      <c r="U458" s="21" t="str">
        <f aca="false">IF($L458&lt;&gt;"Planned","",$T458+$R458)</f>
        <v/>
      </c>
      <c r="V458" s="8" t="str">
        <f aca="false">IF($A458="","",SUMIFS('Open supply'!$C:$C,'Open supply'!$A:$A,$AF458))</f>
        <v/>
      </c>
      <c r="W458" s="8" t="str">
        <f aca="false">IF($A458="","",SUMIFS('Open supply'!$C:$C,'Open supply'!$A:$A,$AF458,'Open supply'!$B:$B,"&lt;"&amp;PlanDate))</f>
        <v/>
      </c>
      <c r="X458" s="8" t="str">
        <f aca="false">IF($A458="","",SUMIFS('Open demand'!$G:$G,'Open demand'!$A:$A,$AF458))</f>
        <v/>
      </c>
      <c r="Y458" s="8" t="str">
        <f aca="false">IF($L458&lt;&gt;"Planned","",N($H458)+$V458-$X458)</f>
        <v/>
      </c>
      <c r="Z458" s="19" t="str">
        <f aca="false">IF($L458&lt;&gt;"Planned","",IF($Y458&lt;=$S458,"Red",IF($Y458&lt;=$T458,"Yellow",IF($Y458&lt;=$U458,"Green","Above green"))))</f>
        <v/>
      </c>
      <c r="AA458" s="22" t="str">
        <f aca="false">IF(OR($L458&lt;&gt;"Planned",N($U458)&lt;=0),"",$Y458/$U458)</f>
        <v/>
      </c>
      <c r="AB458" s="8" t="str">
        <f aca="false">IF($L458&lt;&gt;"Planned","",IF($Y458&lt;=$T458,ROUNDUP(MAX($U458-$Y458,N($E458))/IF(N($F458)&gt;0,$F458,1)-0.000000001,0)*IF(N($F458)&gt;0,$F458,1),""))</f>
        <v/>
      </c>
      <c r="AC458" s="23" t="str">
        <f aca="false">IF(N($AB458)&gt;0,PlanDate+ROUNDUP($D458,0),"")</f>
        <v/>
      </c>
      <c r="AD458" s="19" t="str">
        <f aca="false">IF($L458&lt;&gt;"Planned","",IF(N($H458)&lt;=0,"Stockout",IF(N($H458)&lt;$S458*0.5,"Critical",IF(N($H458)&lt;=$S458,"Low",IF(N($H458)&gt;$U458,"Over top of green","OK")))))</f>
        <v/>
      </c>
      <c r="AE458" s="8" t="str">
        <f aca="false">IF($A458="","",$A458&amp;"")</f>
        <v/>
      </c>
      <c r="AF458" s="8" t="str">
        <f aca="false">IF($A458="","",SUBSTITUTE(SUBSTITUTE(SUBSTITUTE($A458&amp;"","~","~~"),"*","~*"),"?","~?"))</f>
        <v/>
      </c>
    </row>
    <row r="459" customFormat="false" ht="15" hidden="false" customHeight="false" outlineLevel="0" collapsed="false">
      <c r="A459" s="11"/>
      <c r="B459" s="11"/>
      <c r="C459" s="11"/>
      <c r="D459" s="16"/>
      <c r="E459" s="11"/>
      <c r="F459" s="11"/>
      <c r="G459" s="9"/>
      <c r="H459" s="11"/>
      <c r="I459" s="17"/>
      <c r="J459" s="18" t="str">
        <f aca="false">IF($A459="","",IF(COUNT(Usage!$C:$C)=0,"",MAX(0,SUMIFS(Usage!$C:$C,Usage!$A:$A,$AF459,Usage!$B:$B,"&gt;="&amp;(PlanDate-AduWindow),Usage!$B:$B,"&lt;"&amp;PlanDate))/AduWindow))</f>
        <v/>
      </c>
      <c r="K459" s="18" t="str">
        <f aca="false">IF($A459="","",IF(AND(ISNUMBER($I459),N($I459)&gt;=0),$I459,$J459))</f>
        <v/>
      </c>
      <c r="L459" s="19" t="str">
        <f aca="false">IF($A459="","",IF($K459="","Needs ADU",IF($K459&lt;=0,"No recent demand",IF(N($D459)&lt;=0,"Needs lead time","Planned"))))</f>
        <v/>
      </c>
      <c r="M459" s="8" t="str">
        <f aca="false">IF($A459="","",IF(ISNUMBER(MATCH($C459,Profiles!$A$2:$A$100,0)),$C459,DefaultProfile))</f>
        <v/>
      </c>
      <c r="N459" s="20" t="str">
        <f aca="false">IF($A459="","",INDEX(Profiles!$D$2:$D$100,MATCH($M459,Profiles!$A$2:$A$100,0)))</f>
        <v/>
      </c>
      <c r="O459" s="20" t="str">
        <f aca="false">IF($A459="","",INDEX(Profiles!$E$2:$E$100,MATCH($M459,Profiles!$A$2:$A$100,0)))</f>
        <v/>
      </c>
      <c r="P459" s="21" t="str">
        <f aca="false">IF($L459&lt;&gt;"Planned","",$K459*$D459*$N459*(1+$O459))</f>
        <v/>
      </c>
      <c r="Q459" s="21" t="str">
        <f aca="false">IF($L459&lt;&gt;"Planned","",$K459*$D459)</f>
        <v/>
      </c>
      <c r="R459" s="21" t="str">
        <f aca="false">IF($L459&lt;&gt;"Planned","",MAX(N($E459),$K459*$D459*$N459,$K459*N($G459)))</f>
        <v/>
      </c>
      <c r="S459" s="21" t="str">
        <f aca="false">IF($L459&lt;&gt;"Planned","",$P459)</f>
        <v/>
      </c>
      <c r="T459" s="21" t="str">
        <f aca="false">IF($L459&lt;&gt;"Planned","",$P459+$Q459)</f>
        <v/>
      </c>
      <c r="U459" s="21" t="str">
        <f aca="false">IF($L459&lt;&gt;"Planned","",$T459+$R459)</f>
        <v/>
      </c>
      <c r="V459" s="8" t="str">
        <f aca="false">IF($A459="","",SUMIFS('Open supply'!$C:$C,'Open supply'!$A:$A,$AF459))</f>
        <v/>
      </c>
      <c r="W459" s="8" t="str">
        <f aca="false">IF($A459="","",SUMIFS('Open supply'!$C:$C,'Open supply'!$A:$A,$AF459,'Open supply'!$B:$B,"&lt;"&amp;PlanDate))</f>
        <v/>
      </c>
      <c r="X459" s="8" t="str">
        <f aca="false">IF($A459="","",SUMIFS('Open demand'!$G:$G,'Open demand'!$A:$A,$AF459))</f>
        <v/>
      </c>
      <c r="Y459" s="8" t="str">
        <f aca="false">IF($L459&lt;&gt;"Planned","",N($H459)+$V459-$X459)</f>
        <v/>
      </c>
      <c r="Z459" s="19" t="str">
        <f aca="false">IF($L459&lt;&gt;"Planned","",IF($Y459&lt;=$S459,"Red",IF($Y459&lt;=$T459,"Yellow",IF($Y459&lt;=$U459,"Green","Above green"))))</f>
        <v/>
      </c>
      <c r="AA459" s="22" t="str">
        <f aca="false">IF(OR($L459&lt;&gt;"Planned",N($U459)&lt;=0),"",$Y459/$U459)</f>
        <v/>
      </c>
      <c r="AB459" s="8" t="str">
        <f aca="false">IF($L459&lt;&gt;"Planned","",IF($Y459&lt;=$T459,ROUNDUP(MAX($U459-$Y459,N($E459))/IF(N($F459)&gt;0,$F459,1)-0.000000001,0)*IF(N($F459)&gt;0,$F459,1),""))</f>
        <v/>
      </c>
      <c r="AC459" s="23" t="str">
        <f aca="false">IF(N($AB459)&gt;0,PlanDate+ROUNDUP($D459,0),"")</f>
        <v/>
      </c>
      <c r="AD459" s="19" t="str">
        <f aca="false">IF($L459&lt;&gt;"Planned","",IF(N($H459)&lt;=0,"Stockout",IF(N($H459)&lt;$S459*0.5,"Critical",IF(N($H459)&lt;=$S459,"Low",IF(N($H459)&gt;$U459,"Over top of green","OK")))))</f>
        <v/>
      </c>
      <c r="AE459" s="8" t="str">
        <f aca="false">IF($A459="","",$A459&amp;"")</f>
        <v/>
      </c>
      <c r="AF459" s="8" t="str">
        <f aca="false">IF($A459="","",SUBSTITUTE(SUBSTITUTE(SUBSTITUTE($A459&amp;"","~","~~"),"*","~*"),"?","~?"))</f>
        <v/>
      </c>
    </row>
    <row r="460" customFormat="false" ht="15" hidden="false" customHeight="false" outlineLevel="0" collapsed="false">
      <c r="A460" s="11"/>
      <c r="B460" s="11"/>
      <c r="C460" s="11"/>
      <c r="D460" s="16"/>
      <c r="E460" s="11"/>
      <c r="F460" s="11"/>
      <c r="G460" s="9"/>
      <c r="H460" s="11"/>
      <c r="I460" s="17"/>
      <c r="J460" s="18" t="str">
        <f aca="false">IF($A460="","",IF(COUNT(Usage!$C:$C)=0,"",MAX(0,SUMIFS(Usage!$C:$C,Usage!$A:$A,$AF460,Usage!$B:$B,"&gt;="&amp;(PlanDate-AduWindow),Usage!$B:$B,"&lt;"&amp;PlanDate))/AduWindow))</f>
        <v/>
      </c>
      <c r="K460" s="18" t="str">
        <f aca="false">IF($A460="","",IF(AND(ISNUMBER($I460),N($I460)&gt;=0),$I460,$J460))</f>
        <v/>
      </c>
      <c r="L460" s="19" t="str">
        <f aca="false">IF($A460="","",IF($K460="","Needs ADU",IF($K460&lt;=0,"No recent demand",IF(N($D460)&lt;=0,"Needs lead time","Planned"))))</f>
        <v/>
      </c>
      <c r="M460" s="8" t="str">
        <f aca="false">IF($A460="","",IF(ISNUMBER(MATCH($C460,Profiles!$A$2:$A$100,0)),$C460,DefaultProfile))</f>
        <v/>
      </c>
      <c r="N460" s="20" t="str">
        <f aca="false">IF($A460="","",INDEX(Profiles!$D$2:$D$100,MATCH($M460,Profiles!$A$2:$A$100,0)))</f>
        <v/>
      </c>
      <c r="O460" s="20" t="str">
        <f aca="false">IF($A460="","",INDEX(Profiles!$E$2:$E$100,MATCH($M460,Profiles!$A$2:$A$100,0)))</f>
        <v/>
      </c>
      <c r="P460" s="21" t="str">
        <f aca="false">IF($L460&lt;&gt;"Planned","",$K460*$D460*$N460*(1+$O460))</f>
        <v/>
      </c>
      <c r="Q460" s="21" t="str">
        <f aca="false">IF($L460&lt;&gt;"Planned","",$K460*$D460)</f>
        <v/>
      </c>
      <c r="R460" s="21" t="str">
        <f aca="false">IF($L460&lt;&gt;"Planned","",MAX(N($E460),$K460*$D460*$N460,$K460*N($G460)))</f>
        <v/>
      </c>
      <c r="S460" s="21" t="str">
        <f aca="false">IF($L460&lt;&gt;"Planned","",$P460)</f>
        <v/>
      </c>
      <c r="T460" s="21" t="str">
        <f aca="false">IF($L460&lt;&gt;"Planned","",$P460+$Q460)</f>
        <v/>
      </c>
      <c r="U460" s="21" t="str">
        <f aca="false">IF($L460&lt;&gt;"Planned","",$T460+$R460)</f>
        <v/>
      </c>
      <c r="V460" s="8" t="str">
        <f aca="false">IF($A460="","",SUMIFS('Open supply'!$C:$C,'Open supply'!$A:$A,$AF460))</f>
        <v/>
      </c>
      <c r="W460" s="8" t="str">
        <f aca="false">IF($A460="","",SUMIFS('Open supply'!$C:$C,'Open supply'!$A:$A,$AF460,'Open supply'!$B:$B,"&lt;"&amp;PlanDate))</f>
        <v/>
      </c>
      <c r="X460" s="8" t="str">
        <f aca="false">IF($A460="","",SUMIFS('Open demand'!$G:$G,'Open demand'!$A:$A,$AF460))</f>
        <v/>
      </c>
      <c r="Y460" s="8" t="str">
        <f aca="false">IF($L460&lt;&gt;"Planned","",N($H460)+$V460-$X460)</f>
        <v/>
      </c>
      <c r="Z460" s="19" t="str">
        <f aca="false">IF($L460&lt;&gt;"Planned","",IF($Y460&lt;=$S460,"Red",IF($Y460&lt;=$T460,"Yellow",IF($Y460&lt;=$U460,"Green","Above green"))))</f>
        <v/>
      </c>
      <c r="AA460" s="22" t="str">
        <f aca="false">IF(OR($L460&lt;&gt;"Planned",N($U460)&lt;=0),"",$Y460/$U460)</f>
        <v/>
      </c>
      <c r="AB460" s="8" t="str">
        <f aca="false">IF($L460&lt;&gt;"Planned","",IF($Y460&lt;=$T460,ROUNDUP(MAX($U460-$Y460,N($E460))/IF(N($F460)&gt;0,$F460,1)-0.000000001,0)*IF(N($F460)&gt;0,$F460,1),""))</f>
        <v/>
      </c>
      <c r="AC460" s="23" t="str">
        <f aca="false">IF(N($AB460)&gt;0,PlanDate+ROUNDUP($D460,0),"")</f>
        <v/>
      </c>
      <c r="AD460" s="19" t="str">
        <f aca="false">IF($L460&lt;&gt;"Planned","",IF(N($H460)&lt;=0,"Stockout",IF(N($H460)&lt;$S460*0.5,"Critical",IF(N($H460)&lt;=$S460,"Low",IF(N($H460)&gt;$U460,"Over top of green","OK")))))</f>
        <v/>
      </c>
      <c r="AE460" s="8" t="str">
        <f aca="false">IF($A460="","",$A460&amp;"")</f>
        <v/>
      </c>
      <c r="AF460" s="8" t="str">
        <f aca="false">IF($A460="","",SUBSTITUTE(SUBSTITUTE(SUBSTITUTE($A460&amp;"","~","~~"),"*","~*"),"?","~?"))</f>
        <v/>
      </c>
    </row>
    <row r="461" customFormat="false" ht="15" hidden="false" customHeight="false" outlineLevel="0" collapsed="false">
      <c r="A461" s="11"/>
      <c r="B461" s="11"/>
      <c r="C461" s="11"/>
      <c r="D461" s="16"/>
      <c r="E461" s="11"/>
      <c r="F461" s="11"/>
      <c r="G461" s="9"/>
      <c r="H461" s="11"/>
      <c r="I461" s="17"/>
      <c r="J461" s="18" t="str">
        <f aca="false">IF($A461="","",IF(COUNT(Usage!$C:$C)=0,"",MAX(0,SUMIFS(Usage!$C:$C,Usage!$A:$A,$AF461,Usage!$B:$B,"&gt;="&amp;(PlanDate-AduWindow),Usage!$B:$B,"&lt;"&amp;PlanDate))/AduWindow))</f>
        <v/>
      </c>
      <c r="K461" s="18" t="str">
        <f aca="false">IF($A461="","",IF(AND(ISNUMBER($I461),N($I461)&gt;=0),$I461,$J461))</f>
        <v/>
      </c>
      <c r="L461" s="19" t="str">
        <f aca="false">IF($A461="","",IF($K461="","Needs ADU",IF($K461&lt;=0,"No recent demand",IF(N($D461)&lt;=0,"Needs lead time","Planned"))))</f>
        <v/>
      </c>
      <c r="M461" s="8" t="str">
        <f aca="false">IF($A461="","",IF(ISNUMBER(MATCH($C461,Profiles!$A$2:$A$100,0)),$C461,DefaultProfile))</f>
        <v/>
      </c>
      <c r="N461" s="20" t="str">
        <f aca="false">IF($A461="","",INDEX(Profiles!$D$2:$D$100,MATCH($M461,Profiles!$A$2:$A$100,0)))</f>
        <v/>
      </c>
      <c r="O461" s="20" t="str">
        <f aca="false">IF($A461="","",INDEX(Profiles!$E$2:$E$100,MATCH($M461,Profiles!$A$2:$A$100,0)))</f>
        <v/>
      </c>
      <c r="P461" s="21" t="str">
        <f aca="false">IF($L461&lt;&gt;"Planned","",$K461*$D461*$N461*(1+$O461))</f>
        <v/>
      </c>
      <c r="Q461" s="21" t="str">
        <f aca="false">IF($L461&lt;&gt;"Planned","",$K461*$D461)</f>
        <v/>
      </c>
      <c r="R461" s="21" t="str">
        <f aca="false">IF($L461&lt;&gt;"Planned","",MAX(N($E461),$K461*$D461*$N461,$K461*N($G461)))</f>
        <v/>
      </c>
      <c r="S461" s="21" t="str">
        <f aca="false">IF($L461&lt;&gt;"Planned","",$P461)</f>
        <v/>
      </c>
      <c r="T461" s="21" t="str">
        <f aca="false">IF($L461&lt;&gt;"Planned","",$P461+$Q461)</f>
        <v/>
      </c>
      <c r="U461" s="21" t="str">
        <f aca="false">IF($L461&lt;&gt;"Planned","",$T461+$R461)</f>
        <v/>
      </c>
      <c r="V461" s="8" t="str">
        <f aca="false">IF($A461="","",SUMIFS('Open supply'!$C:$C,'Open supply'!$A:$A,$AF461))</f>
        <v/>
      </c>
      <c r="W461" s="8" t="str">
        <f aca="false">IF($A461="","",SUMIFS('Open supply'!$C:$C,'Open supply'!$A:$A,$AF461,'Open supply'!$B:$B,"&lt;"&amp;PlanDate))</f>
        <v/>
      </c>
      <c r="X461" s="8" t="str">
        <f aca="false">IF($A461="","",SUMIFS('Open demand'!$G:$G,'Open demand'!$A:$A,$AF461))</f>
        <v/>
      </c>
      <c r="Y461" s="8" t="str">
        <f aca="false">IF($L461&lt;&gt;"Planned","",N($H461)+$V461-$X461)</f>
        <v/>
      </c>
      <c r="Z461" s="19" t="str">
        <f aca="false">IF($L461&lt;&gt;"Planned","",IF($Y461&lt;=$S461,"Red",IF($Y461&lt;=$T461,"Yellow",IF($Y461&lt;=$U461,"Green","Above green"))))</f>
        <v/>
      </c>
      <c r="AA461" s="22" t="str">
        <f aca="false">IF(OR($L461&lt;&gt;"Planned",N($U461)&lt;=0),"",$Y461/$U461)</f>
        <v/>
      </c>
      <c r="AB461" s="8" t="str">
        <f aca="false">IF($L461&lt;&gt;"Planned","",IF($Y461&lt;=$T461,ROUNDUP(MAX($U461-$Y461,N($E461))/IF(N($F461)&gt;0,$F461,1)-0.000000001,0)*IF(N($F461)&gt;0,$F461,1),""))</f>
        <v/>
      </c>
      <c r="AC461" s="23" t="str">
        <f aca="false">IF(N($AB461)&gt;0,PlanDate+ROUNDUP($D461,0),"")</f>
        <v/>
      </c>
      <c r="AD461" s="19" t="str">
        <f aca="false">IF($L461&lt;&gt;"Planned","",IF(N($H461)&lt;=0,"Stockout",IF(N($H461)&lt;$S461*0.5,"Critical",IF(N($H461)&lt;=$S461,"Low",IF(N($H461)&gt;$U461,"Over top of green","OK")))))</f>
        <v/>
      </c>
      <c r="AE461" s="8" t="str">
        <f aca="false">IF($A461="","",$A461&amp;"")</f>
        <v/>
      </c>
      <c r="AF461" s="8" t="str">
        <f aca="false">IF($A461="","",SUBSTITUTE(SUBSTITUTE(SUBSTITUTE($A461&amp;"","~","~~"),"*","~*"),"?","~?"))</f>
        <v/>
      </c>
    </row>
    <row r="462" customFormat="false" ht="15" hidden="false" customHeight="false" outlineLevel="0" collapsed="false">
      <c r="A462" s="11"/>
      <c r="B462" s="11"/>
      <c r="C462" s="11"/>
      <c r="D462" s="16"/>
      <c r="E462" s="11"/>
      <c r="F462" s="11"/>
      <c r="G462" s="9"/>
      <c r="H462" s="11"/>
      <c r="I462" s="17"/>
      <c r="J462" s="18" t="str">
        <f aca="false">IF($A462="","",IF(COUNT(Usage!$C:$C)=0,"",MAX(0,SUMIFS(Usage!$C:$C,Usage!$A:$A,$AF462,Usage!$B:$B,"&gt;="&amp;(PlanDate-AduWindow),Usage!$B:$B,"&lt;"&amp;PlanDate))/AduWindow))</f>
        <v/>
      </c>
      <c r="K462" s="18" t="str">
        <f aca="false">IF($A462="","",IF(AND(ISNUMBER($I462),N($I462)&gt;=0),$I462,$J462))</f>
        <v/>
      </c>
      <c r="L462" s="19" t="str">
        <f aca="false">IF($A462="","",IF($K462="","Needs ADU",IF($K462&lt;=0,"No recent demand",IF(N($D462)&lt;=0,"Needs lead time","Planned"))))</f>
        <v/>
      </c>
      <c r="M462" s="8" t="str">
        <f aca="false">IF($A462="","",IF(ISNUMBER(MATCH($C462,Profiles!$A$2:$A$100,0)),$C462,DefaultProfile))</f>
        <v/>
      </c>
      <c r="N462" s="20" t="str">
        <f aca="false">IF($A462="","",INDEX(Profiles!$D$2:$D$100,MATCH($M462,Profiles!$A$2:$A$100,0)))</f>
        <v/>
      </c>
      <c r="O462" s="20" t="str">
        <f aca="false">IF($A462="","",INDEX(Profiles!$E$2:$E$100,MATCH($M462,Profiles!$A$2:$A$100,0)))</f>
        <v/>
      </c>
      <c r="P462" s="21" t="str">
        <f aca="false">IF($L462&lt;&gt;"Planned","",$K462*$D462*$N462*(1+$O462))</f>
        <v/>
      </c>
      <c r="Q462" s="21" t="str">
        <f aca="false">IF($L462&lt;&gt;"Planned","",$K462*$D462)</f>
        <v/>
      </c>
      <c r="R462" s="21" t="str">
        <f aca="false">IF($L462&lt;&gt;"Planned","",MAX(N($E462),$K462*$D462*$N462,$K462*N($G462)))</f>
        <v/>
      </c>
      <c r="S462" s="21" t="str">
        <f aca="false">IF($L462&lt;&gt;"Planned","",$P462)</f>
        <v/>
      </c>
      <c r="T462" s="21" t="str">
        <f aca="false">IF($L462&lt;&gt;"Planned","",$P462+$Q462)</f>
        <v/>
      </c>
      <c r="U462" s="21" t="str">
        <f aca="false">IF($L462&lt;&gt;"Planned","",$T462+$R462)</f>
        <v/>
      </c>
      <c r="V462" s="8" t="str">
        <f aca="false">IF($A462="","",SUMIFS('Open supply'!$C:$C,'Open supply'!$A:$A,$AF462))</f>
        <v/>
      </c>
      <c r="W462" s="8" t="str">
        <f aca="false">IF($A462="","",SUMIFS('Open supply'!$C:$C,'Open supply'!$A:$A,$AF462,'Open supply'!$B:$B,"&lt;"&amp;PlanDate))</f>
        <v/>
      </c>
      <c r="X462" s="8" t="str">
        <f aca="false">IF($A462="","",SUMIFS('Open demand'!$G:$G,'Open demand'!$A:$A,$AF462))</f>
        <v/>
      </c>
      <c r="Y462" s="8" t="str">
        <f aca="false">IF($L462&lt;&gt;"Planned","",N($H462)+$V462-$X462)</f>
        <v/>
      </c>
      <c r="Z462" s="19" t="str">
        <f aca="false">IF($L462&lt;&gt;"Planned","",IF($Y462&lt;=$S462,"Red",IF($Y462&lt;=$T462,"Yellow",IF($Y462&lt;=$U462,"Green","Above green"))))</f>
        <v/>
      </c>
      <c r="AA462" s="22" t="str">
        <f aca="false">IF(OR($L462&lt;&gt;"Planned",N($U462)&lt;=0),"",$Y462/$U462)</f>
        <v/>
      </c>
      <c r="AB462" s="8" t="str">
        <f aca="false">IF($L462&lt;&gt;"Planned","",IF($Y462&lt;=$T462,ROUNDUP(MAX($U462-$Y462,N($E462))/IF(N($F462)&gt;0,$F462,1)-0.000000001,0)*IF(N($F462)&gt;0,$F462,1),""))</f>
        <v/>
      </c>
      <c r="AC462" s="23" t="str">
        <f aca="false">IF(N($AB462)&gt;0,PlanDate+ROUNDUP($D462,0),"")</f>
        <v/>
      </c>
      <c r="AD462" s="19" t="str">
        <f aca="false">IF($L462&lt;&gt;"Planned","",IF(N($H462)&lt;=0,"Stockout",IF(N($H462)&lt;$S462*0.5,"Critical",IF(N($H462)&lt;=$S462,"Low",IF(N($H462)&gt;$U462,"Over top of green","OK")))))</f>
        <v/>
      </c>
      <c r="AE462" s="8" t="str">
        <f aca="false">IF($A462="","",$A462&amp;"")</f>
        <v/>
      </c>
      <c r="AF462" s="8" t="str">
        <f aca="false">IF($A462="","",SUBSTITUTE(SUBSTITUTE(SUBSTITUTE($A462&amp;"","~","~~"),"*","~*"),"?","~?"))</f>
        <v/>
      </c>
    </row>
    <row r="463" customFormat="false" ht="15" hidden="false" customHeight="false" outlineLevel="0" collapsed="false">
      <c r="A463" s="11"/>
      <c r="B463" s="11"/>
      <c r="C463" s="11"/>
      <c r="D463" s="16"/>
      <c r="E463" s="11"/>
      <c r="F463" s="11"/>
      <c r="G463" s="9"/>
      <c r="H463" s="11"/>
      <c r="I463" s="17"/>
      <c r="J463" s="18" t="str">
        <f aca="false">IF($A463="","",IF(COUNT(Usage!$C:$C)=0,"",MAX(0,SUMIFS(Usage!$C:$C,Usage!$A:$A,$AF463,Usage!$B:$B,"&gt;="&amp;(PlanDate-AduWindow),Usage!$B:$B,"&lt;"&amp;PlanDate))/AduWindow))</f>
        <v/>
      </c>
      <c r="K463" s="18" t="str">
        <f aca="false">IF($A463="","",IF(AND(ISNUMBER($I463),N($I463)&gt;=0),$I463,$J463))</f>
        <v/>
      </c>
      <c r="L463" s="19" t="str">
        <f aca="false">IF($A463="","",IF($K463="","Needs ADU",IF($K463&lt;=0,"No recent demand",IF(N($D463)&lt;=0,"Needs lead time","Planned"))))</f>
        <v/>
      </c>
      <c r="M463" s="8" t="str">
        <f aca="false">IF($A463="","",IF(ISNUMBER(MATCH($C463,Profiles!$A$2:$A$100,0)),$C463,DefaultProfile))</f>
        <v/>
      </c>
      <c r="N463" s="20" t="str">
        <f aca="false">IF($A463="","",INDEX(Profiles!$D$2:$D$100,MATCH($M463,Profiles!$A$2:$A$100,0)))</f>
        <v/>
      </c>
      <c r="O463" s="20" t="str">
        <f aca="false">IF($A463="","",INDEX(Profiles!$E$2:$E$100,MATCH($M463,Profiles!$A$2:$A$100,0)))</f>
        <v/>
      </c>
      <c r="P463" s="21" t="str">
        <f aca="false">IF($L463&lt;&gt;"Planned","",$K463*$D463*$N463*(1+$O463))</f>
        <v/>
      </c>
      <c r="Q463" s="21" t="str">
        <f aca="false">IF($L463&lt;&gt;"Planned","",$K463*$D463)</f>
        <v/>
      </c>
      <c r="R463" s="21" t="str">
        <f aca="false">IF($L463&lt;&gt;"Planned","",MAX(N($E463),$K463*$D463*$N463,$K463*N($G463)))</f>
        <v/>
      </c>
      <c r="S463" s="21" t="str">
        <f aca="false">IF($L463&lt;&gt;"Planned","",$P463)</f>
        <v/>
      </c>
      <c r="T463" s="21" t="str">
        <f aca="false">IF($L463&lt;&gt;"Planned","",$P463+$Q463)</f>
        <v/>
      </c>
      <c r="U463" s="21" t="str">
        <f aca="false">IF($L463&lt;&gt;"Planned","",$T463+$R463)</f>
        <v/>
      </c>
      <c r="V463" s="8" t="str">
        <f aca="false">IF($A463="","",SUMIFS('Open supply'!$C:$C,'Open supply'!$A:$A,$AF463))</f>
        <v/>
      </c>
      <c r="W463" s="8" t="str">
        <f aca="false">IF($A463="","",SUMIFS('Open supply'!$C:$C,'Open supply'!$A:$A,$AF463,'Open supply'!$B:$B,"&lt;"&amp;PlanDate))</f>
        <v/>
      </c>
      <c r="X463" s="8" t="str">
        <f aca="false">IF($A463="","",SUMIFS('Open demand'!$G:$G,'Open demand'!$A:$A,$AF463))</f>
        <v/>
      </c>
      <c r="Y463" s="8" t="str">
        <f aca="false">IF($L463&lt;&gt;"Planned","",N($H463)+$V463-$X463)</f>
        <v/>
      </c>
      <c r="Z463" s="19" t="str">
        <f aca="false">IF($L463&lt;&gt;"Planned","",IF($Y463&lt;=$S463,"Red",IF($Y463&lt;=$T463,"Yellow",IF($Y463&lt;=$U463,"Green","Above green"))))</f>
        <v/>
      </c>
      <c r="AA463" s="22" t="str">
        <f aca="false">IF(OR($L463&lt;&gt;"Planned",N($U463)&lt;=0),"",$Y463/$U463)</f>
        <v/>
      </c>
      <c r="AB463" s="8" t="str">
        <f aca="false">IF($L463&lt;&gt;"Planned","",IF($Y463&lt;=$T463,ROUNDUP(MAX($U463-$Y463,N($E463))/IF(N($F463)&gt;0,$F463,1)-0.000000001,0)*IF(N($F463)&gt;0,$F463,1),""))</f>
        <v/>
      </c>
      <c r="AC463" s="23" t="str">
        <f aca="false">IF(N($AB463)&gt;0,PlanDate+ROUNDUP($D463,0),"")</f>
        <v/>
      </c>
      <c r="AD463" s="19" t="str">
        <f aca="false">IF($L463&lt;&gt;"Planned","",IF(N($H463)&lt;=0,"Stockout",IF(N($H463)&lt;$S463*0.5,"Critical",IF(N($H463)&lt;=$S463,"Low",IF(N($H463)&gt;$U463,"Over top of green","OK")))))</f>
        <v/>
      </c>
      <c r="AE463" s="8" t="str">
        <f aca="false">IF($A463="","",$A463&amp;"")</f>
        <v/>
      </c>
      <c r="AF463" s="8" t="str">
        <f aca="false">IF($A463="","",SUBSTITUTE(SUBSTITUTE(SUBSTITUTE($A463&amp;"","~","~~"),"*","~*"),"?","~?"))</f>
        <v/>
      </c>
    </row>
    <row r="464" customFormat="false" ht="15" hidden="false" customHeight="false" outlineLevel="0" collapsed="false">
      <c r="A464" s="11"/>
      <c r="B464" s="11"/>
      <c r="C464" s="11"/>
      <c r="D464" s="16"/>
      <c r="E464" s="11"/>
      <c r="F464" s="11"/>
      <c r="G464" s="9"/>
      <c r="H464" s="11"/>
      <c r="I464" s="17"/>
      <c r="J464" s="18" t="str">
        <f aca="false">IF($A464="","",IF(COUNT(Usage!$C:$C)=0,"",MAX(0,SUMIFS(Usage!$C:$C,Usage!$A:$A,$AF464,Usage!$B:$B,"&gt;="&amp;(PlanDate-AduWindow),Usage!$B:$B,"&lt;"&amp;PlanDate))/AduWindow))</f>
        <v/>
      </c>
      <c r="K464" s="18" t="str">
        <f aca="false">IF($A464="","",IF(AND(ISNUMBER($I464),N($I464)&gt;=0),$I464,$J464))</f>
        <v/>
      </c>
      <c r="L464" s="19" t="str">
        <f aca="false">IF($A464="","",IF($K464="","Needs ADU",IF($K464&lt;=0,"No recent demand",IF(N($D464)&lt;=0,"Needs lead time","Planned"))))</f>
        <v/>
      </c>
      <c r="M464" s="8" t="str">
        <f aca="false">IF($A464="","",IF(ISNUMBER(MATCH($C464,Profiles!$A$2:$A$100,0)),$C464,DefaultProfile))</f>
        <v/>
      </c>
      <c r="N464" s="20" t="str">
        <f aca="false">IF($A464="","",INDEX(Profiles!$D$2:$D$100,MATCH($M464,Profiles!$A$2:$A$100,0)))</f>
        <v/>
      </c>
      <c r="O464" s="20" t="str">
        <f aca="false">IF($A464="","",INDEX(Profiles!$E$2:$E$100,MATCH($M464,Profiles!$A$2:$A$100,0)))</f>
        <v/>
      </c>
      <c r="P464" s="21" t="str">
        <f aca="false">IF($L464&lt;&gt;"Planned","",$K464*$D464*$N464*(1+$O464))</f>
        <v/>
      </c>
      <c r="Q464" s="21" t="str">
        <f aca="false">IF($L464&lt;&gt;"Planned","",$K464*$D464)</f>
        <v/>
      </c>
      <c r="R464" s="21" t="str">
        <f aca="false">IF($L464&lt;&gt;"Planned","",MAX(N($E464),$K464*$D464*$N464,$K464*N($G464)))</f>
        <v/>
      </c>
      <c r="S464" s="21" t="str">
        <f aca="false">IF($L464&lt;&gt;"Planned","",$P464)</f>
        <v/>
      </c>
      <c r="T464" s="21" t="str">
        <f aca="false">IF($L464&lt;&gt;"Planned","",$P464+$Q464)</f>
        <v/>
      </c>
      <c r="U464" s="21" t="str">
        <f aca="false">IF($L464&lt;&gt;"Planned","",$T464+$R464)</f>
        <v/>
      </c>
      <c r="V464" s="8" t="str">
        <f aca="false">IF($A464="","",SUMIFS('Open supply'!$C:$C,'Open supply'!$A:$A,$AF464))</f>
        <v/>
      </c>
      <c r="W464" s="8" t="str">
        <f aca="false">IF($A464="","",SUMIFS('Open supply'!$C:$C,'Open supply'!$A:$A,$AF464,'Open supply'!$B:$B,"&lt;"&amp;PlanDate))</f>
        <v/>
      </c>
      <c r="X464" s="8" t="str">
        <f aca="false">IF($A464="","",SUMIFS('Open demand'!$G:$G,'Open demand'!$A:$A,$AF464))</f>
        <v/>
      </c>
      <c r="Y464" s="8" t="str">
        <f aca="false">IF($L464&lt;&gt;"Planned","",N($H464)+$V464-$X464)</f>
        <v/>
      </c>
      <c r="Z464" s="19" t="str">
        <f aca="false">IF($L464&lt;&gt;"Planned","",IF($Y464&lt;=$S464,"Red",IF($Y464&lt;=$T464,"Yellow",IF($Y464&lt;=$U464,"Green","Above green"))))</f>
        <v/>
      </c>
      <c r="AA464" s="22" t="str">
        <f aca="false">IF(OR($L464&lt;&gt;"Planned",N($U464)&lt;=0),"",$Y464/$U464)</f>
        <v/>
      </c>
      <c r="AB464" s="8" t="str">
        <f aca="false">IF($L464&lt;&gt;"Planned","",IF($Y464&lt;=$T464,ROUNDUP(MAX($U464-$Y464,N($E464))/IF(N($F464)&gt;0,$F464,1)-0.000000001,0)*IF(N($F464)&gt;0,$F464,1),""))</f>
        <v/>
      </c>
      <c r="AC464" s="23" t="str">
        <f aca="false">IF(N($AB464)&gt;0,PlanDate+ROUNDUP($D464,0),"")</f>
        <v/>
      </c>
      <c r="AD464" s="19" t="str">
        <f aca="false">IF($L464&lt;&gt;"Planned","",IF(N($H464)&lt;=0,"Stockout",IF(N($H464)&lt;$S464*0.5,"Critical",IF(N($H464)&lt;=$S464,"Low",IF(N($H464)&gt;$U464,"Over top of green","OK")))))</f>
        <v/>
      </c>
      <c r="AE464" s="8" t="str">
        <f aca="false">IF($A464="","",$A464&amp;"")</f>
        <v/>
      </c>
      <c r="AF464" s="8" t="str">
        <f aca="false">IF($A464="","",SUBSTITUTE(SUBSTITUTE(SUBSTITUTE($A464&amp;"","~","~~"),"*","~*"),"?","~?"))</f>
        <v/>
      </c>
    </row>
    <row r="465" customFormat="false" ht="15" hidden="false" customHeight="false" outlineLevel="0" collapsed="false">
      <c r="A465" s="11"/>
      <c r="B465" s="11"/>
      <c r="C465" s="11"/>
      <c r="D465" s="16"/>
      <c r="E465" s="11"/>
      <c r="F465" s="11"/>
      <c r="G465" s="9"/>
      <c r="H465" s="11"/>
      <c r="I465" s="17"/>
      <c r="J465" s="18" t="str">
        <f aca="false">IF($A465="","",IF(COUNT(Usage!$C:$C)=0,"",MAX(0,SUMIFS(Usage!$C:$C,Usage!$A:$A,$AF465,Usage!$B:$B,"&gt;="&amp;(PlanDate-AduWindow),Usage!$B:$B,"&lt;"&amp;PlanDate))/AduWindow))</f>
        <v/>
      </c>
      <c r="K465" s="18" t="str">
        <f aca="false">IF($A465="","",IF(AND(ISNUMBER($I465),N($I465)&gt;=0),$I465,$J465))</f>
        <v/>
      </c>
      <c r="L465" s="19" t="str">
        <f aca="false">IF($A465="","",IF($K465="","Needs ADU",IF($K465&lt;=0,"No recent demand",IF(N($D465)&lt;=0,"Needs lead time","Planned"))))</f>
        <v/>
      </c>
      <c r="M465" s="8" t="str">
        <f aca="false">IF($A465="","",IF(ISNUMBER(MATCH($C465,Profiles!$A$2:$A$100,0)),$C465,DefaultProfile))</f>
        <v/>
      </c>
      <c r="N465" s="20" t="str">
        <f aca="false">IF($A465="","",INDEX(Profiles!$D$2:$D$100,MATCH($M465,Profiles!$A$2:$A$100,0)))</f>
        <v/>
      </c>
      <c r="O465" s="20" t="str">
        <f aca="false">IF($A465="","",INDEX(Profiles!$E$2:$E$100,MATCH($M465,Profiles!$A$2:$A$100,0)))</f>
        <v/>
      </c>
      <c r="P465" s="21" t="str">
        <f aca="false">IF($L465&lt;&gt;"Planned","",$K465*$D465*$N465*(1+$O465))</f>
        <v/>
      </c>
      <c r="Q465" s="21" t="str">
        <f aca="false">IF($L465&lt;&gt;"Planned","",$K465*$D465)</f>
        <v/>
      </c>
      <c r="R465" s="21" t="str">
        <f aca="false">IF($L465&lt;&gt;"Planned","",MAX(N($E465),$K465*$D465*$N465,$K465*N($G465)))</f>
        <v/>
      </c>
      <c r="S465" s="21" t="str">
        <f aca="false">IF($L465&lt;&gt;"Planned","",$P465)</f>
        <v/>
      </c>
      <c r="T465" s="21" t="str">
        <f aca="false">IF($L465&lt;&gt;"Planned","",$P465+$Q465)</f>
        <v/>
      </c>
      <c r="U465" s="21" t="str">
        <f aca="false">IF($L465&lt;&gt;"Planned","",$T465+$R465)</f>
        <v/>
      </c>
      <c r="V465" s="8" t="str">
        <f aca="false">IF($A465="","",SUMIFS('Open supply'!$C:$C,'Open supply'!$A:$A,$AF465))</f>
        <v/>
      </c>
      <c r="W465" s="8" t="str">
        <f aca="false">IF($A465="","",SUMIFS('Open supply'!$C:$C,'Open supply'!$A:$A,$AF465,'Open supply'!$B:$B,"&lt;"&amp;PlanDate))</f>
        <v/>
      </c>
      <c r="X465" s="8" t="str">
        <f aca="false">IF($A465="","",SUMIFS('Open demand'!$G:$G,'Open demand'!$A:$A,$AF465))</f>
        <v/>
      </c>
      <c r="Y465" s="8" t="str">
        <f aca="false">IF($L465&lt;&gt;"Planned","",N($H465)+$V465-$X465)</f>
        <v/>
      </c>
      <c r="Z465" s="19" t="str">
        <f aca="false">IF($L465&lt;&gt;"Planned","",IF($Y465&lt;=$S465,"Red",IF($Y465&lt;=$T465,"Yellow",IF($Y465&lt;=$U465,"Green","Above green"))))</f>
        <v/>
      </c>
      <c r="AA465" s="22" t="str">
        <f aca="false">IF(OR($L465&lt;&gt;"Planned",N($U465)&lt;=0),"",$Y465/$U465)</f>
        <v/>
      </c>
      <c r="AB465" s="8" t="str">
        <f aca="false">IF($L465&lt;&gt;"Planned","",IF($Y465&lt;=$T465,ROUNDUP(MAX($U465-$Y465,N($E465))/IF(N($F465)&gt;0,$F465,1)-0.000000001,0)*IF(N($F465)&gt;0,$F465,1),""))</f>
        <v/>
      </c>
      <c r="AC465" s="23" t="str">
        <f aca="false">IF(N($AB465)&gt;0,PlanDate+ROUNDUP($D465,0),"")</f>
        <v/>
      </c>
      <c r="AD465" s="19" t="str">
        <f aca="false">IF($L465&lt;&gt;"Planned","",IF(N($H465)&lt;=0,"Stockout",IF(N($H465)&lt;$S465*0.5,"Critical",IF(N($H465)&lt;=$S465,"Low",IF(N($H465)&gt;$U465,"Over top of green","OK")))))</f>
        <v/>
      </c>
      <c r="AE465" s="8" t="str">
        <f aca="false">IF($A465="","",$A465&amp;"")</f>
        <v/>
      </c>
      <c r="AF465" s="8" t="str">
        <f aca="false">IF($A465="","",SUBSTITUTE(SUBSTITUTE(SUBSTITUTE($A465&amp;"","~","~~"),"*","~*"),"?","~?"))</f>
        <v/>
      </c>
    </row>
    <row r="466" customFormat="false" ht="15" hidden="false" customHeight="false" outlineLevel="0" collapsed="false">
      <c r="A466" s="11"/>
      <c r="B466" s="11"/>
      <c r="C466" s="11"/>
      <c r="D466" s="16"/>
      <c r="E466" s="11"/>
      <c r="F466" s="11"/>
      <c r="G466" s="9"/>
      <c r="H466" s="11"/>
      <c r="I466" s="17"/>
      <c r="J466" s="18" t="str">
        <f aca="false">IF($A466="","",IF(COUNT(Usage!$C:$C)=0,"",MAX(0,SUMIFS(Usage!$C:$C,Usage!$A:$A,$AF466,Usage!$B:$B,"&gt;="&amp;(PlanDate-AduWindow),Usage!$B:$B,"&lt;"&amp;PlanDate))/AduWindow))</f>
        <v/>
      </c>
      <c r="K466" s="18" t="str">
        <f aca="false">IF($A466="","",IF(AND(ISNUMBER($I466),N($I466)&gt;=0),$I466,$J466))</f>
        <v/>
      </c>
      <c r="L466" s="19" t="str">
        <f aca="false">IF($A466="","",IF($K466="","Needs ADU",IF($K466&lt;=0,"No recent demand",IF(N($D466)&lt;=0,"Needs lead time","Planned"))))</f>
        <v/>
      </c>
      <c r="M466" s="8" t="str">
        <f aca="false">IF($A466="","",IF(ISNUMBER(MATCH($C466,Profiles!$A$2:$A$100,0)),$C466,DefaultProfile))</f>
        <v/>
      </c>
      <c r="N466" s="20" t="str">
        <f aca="false">IF($A466="","",INDEX(Profiles!$D$2:$D$100,MATCH($M466,Profiles!$A$2:$A$100,0)))</f>
        <v/>
      </c>
      <c r="O466" s="20" t="str">
        <f aca="false">IF($A466="","",INDEX(Profiles!$E$2:$E$100,MATCH($M466,Profiles!$A$2:$A$100,0)))</f>
        <v/>
      </c>
      <c r="P466" s="21" t="str">
        <f aca="false">IF($L466&lt;&gt;"Planned","",$K466*$D466*$N466*(1+$O466))</f>
        <v/>
      </c>
      <c r="Q466" s="21" t="str">
        <f aca="false">IF($L466&lt;&gt;"Planned","",$K466*$D466)</f>
        <v/>
      </c>
      <c r="R466" s="21" t="str">
        <f aca="false">IF($L466&lt;&gt;"Planned","",MAX(N($E466),$K466*$D466*$N466,$K466*N($G466)))</f>
        <v/>
      </c>
      <c r="S466" s="21" t="str">
        <f aca="false">IF($L466&lt;&gt;"Planned","",$P466)</f>
        <v/>
      </c>
      <c r="T466" s="21" t="str">
        <f aca="false">IF($L466&lt;&gt;"Planned","",$P466+$Q466)</f>
        <v/>
      </c>
      <c r="U466" s="21" t="str">
        <f aca="false">IF($L466&lt;&gt;"Planned","",$T466+$R466)</f>
        <v/>
      </c>
      <c r="V466" s="8" t="str">
        <f aca="false">IF($A466="","",SUMIFS('Open supply'!$C:$C,'Open supply'!$A:$A,$AF466))</f>
        <v/>
      </c>
      <c r="W466" s="8" t="str">
        <f aca="false">IF($A466="","",SUMIFS('Open supply'!$C:$C,'Open supply'!$A:$A,$AF466,'Open supply'!$B:$B,"&lt;"&amp;PlanDate))</f>
        <v/>
      </c>
      <c r="X466" s="8" t="str">
        <f aca="false">IF($A466="","",SUMIFS('Open demand'!$G:$G,'Open demand'!$A:$A,$AF466))</f>
        <v/>
      </c>
      <c r="Y466" s="8" t="str">
        <f aca="false">IF($L466&lt;&gt;"Planned","",N($H466)+$V466-$X466)</f>
        <v/>
      </c>
      <c r="Z466" s="19" t="str">
        <f aca="false">IF($L466&lt;&gt;"Planned","",IF($Y466&lt;=$S466,"Red",IF($Y466&lt;=$T466,"Yellow",IF($Y466&lt;=$U466,"Green","Above green"))))</f>
        <v/>
      </c>
      <c r="AA466" s="22" t="str">
        <f aca="false">IF(OR($L466&lt;&gt;"Planned",N($U466)&lt;=0),"",$Y466/$U466)</f>
        <v/>
      </c>
      <c r="AB466" s="8" t="str">
        <f aca="false">IF($L466&lt;&gt;"Planned","",IF($Y466&lt;=$T466,ROUNDUP(MAX($U466-$Y466,N($E466))/IF(N($F466)&gt;0,$F466,1)-0.000000001,0)*IF(N($F466)&gt;0,$F466,1),""))</f>
        <v/>
      </c>
      <c r="AC466" s="23" t="str">
        <f aca="false">IF(N($AB466)&gt;0,PlanDate+ROUNDUP($D466,0),"")</f>
        <v/>
      </c>
      <c r="AD466" s="19" t="str">
        <f aca="false">IF($L466&lt;&gt;"Planned","",IF(N($H466)&lt;=0,"Stockout",IF(N($H466)&lt;$S466*0.5,"Critical",IF(N($H466)&lt;=$S466,"Low",IF(N($H466)&gt;$U466,"Over top of green","OK")))))</f>
        <v/>
      </c>
      <c r="AE466" s="8" t="str">
        <f aca="false">IF($A466="","",$A466&amp;"")</f>
        <v/>
      </c>
      <c r="AF466" s="8" t="str">
        <f aca="false">IF($A466="","",SUBSTITUTE(SUBSTITUTE(SUBSTITUTE($A466&amp;"","~","~~"),"*","~*"),"?","~?"))</f>
        <v/>
      </c>
    </row>
    <row r="467" customFormat="false" ht="15" hidden="false" customHeight="false" outlineLevel="0" collapsed="false">
      <c r="A467" s="11"/>
      <c r="B467" s="11"/>
      <c r="C467" s="11"/>
      <c r="D467" s="16"/>
      <c r="E467" s="11"/>
      <c r="F467" s="11"/>
      <c r="G467" s="9"/>
      <c r="H467" s="11"/>
      <c r="I467" s="17"/>
      <c r="J467" s="18" t="str">
        <f aca="false">IF($A467="","",IF(COUNT(Usage!$C:$C)=0,"",MAX(0,SUMIFS(Usage!$C:$C,Usage!$A:$A,$AF467,Usage!$B:$B,"&gt;="&amp;(PlanDate-AduWindow),Usage!$B:$B,"&lt;"&amp;PlanDate))/AduWindow))</f>
        <v/>
      </c>
      <c r="K467" s="18" t="str">
        <f aca="false">IF($A467="","",IF(AND(ISNUMBER($I467),N($I467)&gt;=0),$I467,$J467))</f>
        <v/>
      </c>
      <c r="L467" s="19" t="str">
        <f aca="false">IF($A467="","",IF($K467="","Needs ADU",IF($K467&lt;=0,"No recent demand",IF(N($D467)&lt;=0,"Needs lead time","Planned"))))</f>
        <v/>
      </c>
      <c r="M467" s="8" t="str">
        <f aca="false">IF($A467="","",IF(ISNUMBER(MATCH($C467,Profiles!$A$2:$A$100,0)),$C467,DefaultProfile))</f>
        <v/>
      </c>
      <c r="N467" s="20" t="str">
        <f aca="false">IF($A467="","",INDEX(Profiles!$D$2:$D$100,MATCH($M467,Profiles!$A$2:$A$100,0)))</f>
        <v/>
      </c>
      <c r="O467" s="20" t="str">
        <f aca="false">IF($A467="","",INDEX(Profiles!$E$2:$E$100,MATCH($M467,Profiles!$A$2:$A$100,0)))</f>
        <v/>
      </c>
      <c r="P467" s="21" t="str">
        <f aca="false">IF($L467&lt;&gt;"Planned","",$K467*$D467*$N467*(1+$O467))</f>
        <v/>
      </c>
      <c r="Q467" s="21" t="str">
        <f aca="false">IF($L467&lt;&gt;"Planned","",$K467*$D467)</f>
        <v/>
      </c>
      <c r="R467" s="21" t="str">
        <f aca="false">IF($L467&lt;&gt;"Planned","",MAX(N($E467),$K467*$D467*$N467,$K467*N($G467)))</f>
        <v/>
      </c>
      <c r="S467" s="21" t="str">
        <f aca="false">IF($L467&lt;&gt;"Planned","",$P467)</f>
        <v/>
      </c>
      <c r="T467" s="21" t="str">
        <f aca="false">IF($L467&lt;&gt;"Planned","",$P467+$Q467)</f>
        <v/>
      </c>
      <c r="U467" s="21" t="str">
        <f aca="false">IF($L467&lt;&gt;"Planned","",$T467+$R467)</f>
        <v/>
      </c>
      <c r="V467" s="8" t="str">
        <f aca="false">IF($A467="","",SUMIFS('Open supply'!$C:$C,'Open supply'!$A:$A,$AF467))</f>
        <v/>
      </c>
      <c r="W467" s="8" t="str">
        <f aca="false">IF($A467="","",SUMIFS('Open supply'!$C:$C,'Open supply'!$A:$A,$AF467,'Open supply'!$B:$B,"&lt;"&amp;PlanDate))</f>
        <v/>
      </c>
      <c r="X467" s="8" t="str">
        <f aca="false">IF($A467="","",SUMIFS('Open demand'!$G:$G,'Open demand'!$A:$A,$AF467))</f>
        <v/>
      </c>
      <c r="Y467" s="8" t="str">
        <f aca="false">IF($L467&lt;&gt;"Planned","",N($H467)+$V467-$X467)</f>
        <v/>
      </c>
      <c r="Z467" s="19" t="str">
        <f aca="false">IF($L467&lt;&gt;"Planned","",IF($Y467&lt;=$S467,"Red",IF($Y467&lt;=$T467,"Yellow",IF($Y467&lt;=$U467,"Green","Above green"))))</f>
        <v/>
      </c>
      <c r="AA467" s="22" t="str">
        <f aca="false">IF(OR($L467&lt;&gt;"Planned",N($U467)&lt;=0),"",$Y467/$U467)</f>
        <v/>
      </c>
      <c r="AB467" s="8" t="str">
        <f aca="false">IF($L467&lt;&gt;"Planned","",IF($Y467&lt;=$T467,ROUNDUP(MAX($U467-$Y467,N($E467))/IF(N($F467)&gt;0,$F467,1)-0.000000001,0)*IF(N($F467)&gt;0,$F467,1),""))</f>
        <v/>
      </c>
      <c r="AC467" s="23" t="str">
        <f aca="false">IF(N($AB467)&gt;0,PlanDate+ROUNDUP($D467,0),"")</f>
        <v/>
      </c>
      <c r="AD467" s="19" t="str">
        <f aca="false">IF($L467&lt;&gt;"Planned","",IF(N($H467)&lt;=0,"Stockout",IF(N($H467)&lt;$S467*0.5,"Critical",IF(N($H467)&lt;=$S467,"Low",IF(N($H467)&gt;$U467,"Over top of green","OK")))))</f>
        <v/>
      </c>
      <c r="AE467" s="8" t="str">
        <f aca="false">IF($A467="","",$A467&amp;"")</f>
        <v/>
      </c>
      <c r="AF467" s="8" t="str">
        <f aca="false">IF($A467="","",SUBSTITUTE(SUBSTITUTE(SUBSTITUTE($A467&amp;"","~","~~"),"*","~*"),"?","~?"))</f>
        <v/>
      </c>
    </row>
    <row r="468" customFormat="false" ht="15" hidden="false" customHeight="false" outlineLevel="0" collapsed="false">
      <c r="A468" s="11"/>
      <c r="B468" s="11"/>
      <c r="C468" s="11"/>
      <c r="D468" s="16"/>
      <c r="E468" s="11"/>
      <c r="F468" s="11"/>
      <c r="G468" s="9"/>
      <c r="H468" s="11"/>
      <c r="I468" s="17"/>
      <c r="J468" s="18" t="str">
        <f aca="false">IF($A468="","",IF(COUNT(Usage!$C:$C)=0,"",MAX(0,SUMIFS(Usage!$C:$C,Usage!$A:$A,$AF468,Usage!$B:$B,"&gt;="&amp;(PlanDate-AduWindow),Usage!$B:$B,"&lt;"&amp;PlanDate))/AduWindow))</f>
        <v/>
      </c>
      <c r="K468" s="18" t="str">
        <f aca="false">IF($A468="","",IF(AND(ISNUMBER($I468),N($I468)&gt;=0),$I468,$J468))</f>
        <v/>
      </c>
      <c r="L468" s="19" t="str">
        <f aca="false">IF($A468="","",IF($K468="","Needs ADU",IF($K468&lt;=0,"No recent demand",IF(N($D468)&lt;=0,"Needs lead time","Planned"))))</f>
        <v/>
      </c>
      <c r="M468" s="8" t="str">
        <f aca="false">IF($A468="","",IF(ISNUMBER(MATCH($C468,Profiles!$A$2:$A$100,0)),$C468,DefaultProfile))</f>
        <v/>
      </c>
      <c r="N468" s="20" t="str">
        <f aca="false">IF($A468="","",INDEX(Profiles!$D$2:$D$100,MATCH($M468,Profiles!$A$2:$A$100,0)))</f>
        <v/>
      </c>
      <c r="O468" s="20" t="str">
        <f aca="false">IF($A468="","",INDEX(Profiles!$E$2:$E$100,MATCH($M468,Profiles!$A$2:$A$100,0)))</f>
        <v/>
      </c>
      <c r="P468" s="21" t="str">
        <f aca="false">IF($L468&lt;&gt;"Planned","",$K468*$D468*$N468*(1+$O468))</f>
        <v/>
      </c>
      <c r="Q468" s="21" t="str">
        <f aca="false">IF($L468&lt;&gt;"Planned","",$K468*$D468)</f>
        <v/>
      </c>
      <c r="R468" s="21" t="str">
        <f aca="false">IF($L468&lt;&gt;"Planned","",MAX(N($E468),$K468*$D468*$N468,$K468*N($G468)))</f>
        <v/>
      </c>
      <c r="S468" s="21" t="str">
        <f aca="false">IF($L468&lt;&gt;"Planned","",$P468)</f>
        <v/>
      </c>
      <c r="T468" s="21" t="str">
        <f aca="false">IF($L468&lt;&gt;"Planned","",$P468+$Q468)</f>
        <v/>
      </c>
      <c r="U468" s="21" t="str">
        <f aca="false">IF($L468&lt;&gt;"Planned","",$T468+$R468)</f>
        <v/>
      </c>
      <c r="V468" s="8" t="str">
        <f aca="false">IF($A468="","",SUMIFS('Open supply'!$C:$C,'Open supply'!$A:$A,$AF468))</f>
        <v/>
      </c>
      <c r="W468" s="8" t="str">
        <f aca="false">IF($A468="","",SUMIFS('Open supply'!$C:$C,'Open supply'!$A:$A,$AF468,'Open supply'!$B:$B,"&lt;"&amp;PlanDate))</f>
        <v/>
      </c>
      <c r="X468" s="8" t="str">
        <f aca="false">IF($A468="","",SUMIFS('Open demand'!$G:$G,'Open demand'!$A:$A,$AF468))</f>
        <v/>
      </c>
      <c r="Y468" s="8" t="str">
        <f aca="false">IF($L468&lt;&gt;"Planned","",N($H468)+$V468-$X468)</f>
        <v/>
      </c>
      <c r="Z468" s="19" t="str">
        <f aca="false">IF($L468&lt;&gt;"Planned","",IF($Y468&lt;=$S468,"Red",IF($Y468&lt;=$T468,"Yellow",IF($Y468&lt;=$U468,"Green","Above green"))))</f>
        <v/>
      </c>
      <c r="AA468" s="22" t="str">
        <f aca="false">IF(OR($L468&lt;&gt;"Planned",N($U468)&lt;=0),"",$Y468/$U468)</f>
        <v/>
      </c>
      <c r="AB468" s="8" t="str">
        <f aca="false">IF($L468&lt;&gt;"Planned","",IF($Y468&lt;=$T468,ROUNDUP(MAX($U468-$Y468,N($E468))/IF(N($F468)&gt;0,$F468,1)-0.000000001,0)*IF(N($F468)&gt;0,$F468,1),""))</f>
        <v/>
      </c>
      <c r="AC468" s="23" t="str">
        <f aca="false">IF(N($AB468)&gt;0,PlanDate+ROUNDUP($D468,0),"")</f>
        <v/>
      </c>
      <c r="AD468" s="19" t="str">
        <f aca="false">IF($L468&lt;&gt;"Planned","",IF(N($H468)&lt;=0,"Stockout",IF(N($H468)&lt;$S468*0.5,"Critical",IF(N($H468)&lt;=$S468,"Low",IF(N($H468)&gt;$U468,"Over top of green","OK")))))</f>
        <v/>
      </c>
      <c r="AE468" s="8" t="str">
        <f aca="false">IF($A468="","",$A468&amp;"")</f>
        <v/>
      </c>
      <c r="AF468" s="8" t="str">
        <f aca="false">IF($A468="","",SUBSTITUTE(SUBSTITUTE(SUBSTITUTE($A468&amp;"","~","~~"),"*","~*"),"?","~?"))</f>
        <v/>
      </c>
    </row>
    <row r="469" customFormat="false" ht="15" hidden="false" customHeight="false" outlineLevel="0" collapsed="false">
      <c r="A469" s="11"/>
      <c r="B469" s="11"/>
      <c r="C469" s="11"/>
      <c r="D469" s="16"/>
      <c r="E469" s="11"/>
      <c r="F469" s="11"/>
      <c r="G469" s="9"/>
      <c r="H469" s="11"/>
      <c r="I469" s="17"/>
      <c r="J469" s="18" t="str">
        <f aca="false">IF($A469="","",IF(COUNT(Usage!$C:$C)=0,"",MAX(0,SUMIFS(Usage!$C:$C,Usage!$A:$A,$AF469,Usage!$B:$B,"&gt;="&amp;(PlanDate-AduWindow),Usage!$B:$B,"&lt;"&amp;PlanDate))/AduWindow))</f>
        <v/>
      </c>
      <c r="K469" s="18" t="str">
        <f aca="false">IF($A469="","",IF(AND(ISNUMBER($I469),N($I469)&gt;=0),$I469,$J469))</f>
        <v/>
      </c>
      <c r="L469" s="19" t="str">
        <f aca="false">IF($A469="","",IF($K469="","Needs ADU",IF($K469&lt;=0,"No recent demand",IF(N($D469)&lt;=0,"Needs lead time","Planned"))))</f>
        <v/>
      </c>
      <c r="M469" s="8" t="str">
        <f aca="false">IF($A469="","",IF(ISNUMBER(MATCH($C469,Profiles!$A$2:$A$100,0)),$C469,DefaultProfile))</f>
        <v/>
      </c>
      <c r="N469" s="20" t="str">
        <f aca="false">IF($A469="","",INDEX(Profiles!$D$2:$D$100,MATCH($M469,Profiles!$A$2:$A$100,0)))</f>
        <v/>
      </c>
      <c r="O469" s="20" t="str">
        <f aca="false">IF($A469="","",INDEX(Profiles!$E$2:$E$100,MATCH($M469,Profiles!$A$2:$A$100,0)))</f>
        <v/>
      </c>
      <c r="P469" s="21" t="str">
        <f aca="false">IF($L469&lt;&gt;"Planned","",$K469*$D469*$N469*(1+$O469))</f>
        <v/>
      </c>
      <c r="Q469" s="21" t="str">
        <f aca="false">IF($L469&lt;&gt;"Planned","",$K469*$D469)</f>
        <v/>
      </c>
      <c r="R469" s="21" t="str">
        <f aca="false">IF($L469&lt;&gt;"Planned","",MAX(N($E469),$K469*$D469*$N469,$K469*N($G469)))</f>
        <v/>
      </c>
      <c r="S469" s="21" t="str">
        <f aca="false">IF($L469&lt;&gt;"Planned","",$P469)</f>
        <v/>
      </c>
      <c r="T469" s="21" t="str">
        <f aca="false">IF($L469&lt;&gt;"Planned","",$P469+$Q469)</f>
        <v/>
      </c>
      <c r="U469" s="21" t="str">
        <f aca="false">IF($L469&lt;&gt;"Planned","",$T469+$R469)</f>
        <v/>
      </c>
      <c r="V469" s="8" t="str">
        <f aca="false">IF($A469="","",SUMIFS('Open supply'!$C:$C,'Open supply'!$A:$A,$AF469))</f>
        <v/>
      </c>
      <c r="W469" s="8" t="str">
        <f aca="false">IF($A469="","",SUMIFS('Open supply'!$C:$C,'Open supply'!$A:$A,$AF469,'Open supply'!$B:$B,"&lt;"&amp;PlanDate))</f>
        <v/>
      </c>
      <c r="X469" s="8" t="str">
        <f aca="false">IF($A469="","",SUMIFS('Open demand'!$G:$G,'Open demand'!$A:$A,$AF469))</f>
        <v/>
      </c>
      <c r="Y469" s="8" t="str">
        <f aca="false">IF($L469&lt;&gt;"Planned","",N($H469)+$V469-$X469)</f>
        <v/>
      </c>
      <c r="Z469" s="19" t="str">
        <f aca="false">IF($L469&lt;&gt;"Planned","",IF($Y469&lt;=$S469,"Red",IF($Y469&lt;=$T469,"Yellow",IF($Y469&lt;=$U469,"Green","Above green"))))</f>
        <v/>
      </c>
      <c r="AA469" s="22" t="str">
        <f aca="false">IF(OR($L469&lt;&gt;"Planned",N($U469)&lt;=0),"",$Y469/$U469)</f>
        <v/>
      </c>
      <c r="AB469" s="8" t="str">
        <f aca="false">IF($L469&lt;&gt;"Planned","",IF($Y469&lt;=$T469,ROUNDUP(MAX($U469-$Y469,N($E469))/IF(N($F469)&gt;0,$F469,1)-0.000000001,0)*IF(N($F469)&gt;0,$F469,1),""))</f>
        <v/>
      </c>
      <c r="AC469" s="23" t="str">
        <f aca="false">IF(N($AB469)&gt;0,PlanDate+ROUNDUP($D469,0),"")</f>
        <v/>
      </c>
      <c r="AD469" s="19" t="str">
        <f aca="false">IF($L469&lt;&gt;"Planned","",IF(N($H469)&lt;=0,"Stockout",IF(N($H469)&lt;$S469*0.5,"Critical",IF(N($H469)&lt;=$S469,"Low",IF(N($H469)&gt;$U469,"Over top of green","OK")))))</f>
        <v/>
      </c>
      <c r="AE469" s="8" t="str">
        <f aca="false">IF($A469="","",$A469&amp;"")</f>
        <v/>
      </c>
      <c r="AF469" s="8" t="str">
        <f aca="false">IF($A469="","",SUBSTITUTE(SUBSTITUTE(SUBSTITUTE($A469&amp;"","~","~~"),"*","~*"),"?","~?"))</f>
        <v/>
      </c>
    </row>
    <row r="470" customFormat="false" ht="15" hidden="false" customHeight="false" outlineLevel="0" collapsed="false">
      <c r="A470" s="11"/>
      <c r="B470" s="11"/>
      <c r="C470" s="11"/>
      <c r="D470" s="16"/>
      <c r="E470" s="11"/>
      <c r="F470" s="11"/>
      <c r="G470" s="9"/>
      <c r="H470" s="11"/>
      <c r="I470" s="17"/>
      <c r="J470" s="18" t="str">
        <f aca="false">IF($A470="","",IF(COUNT(Usage!$C:$C)=0,"",MAX(0,SUMIFS(Usage!$C:$C,Usage!$A:$A,$AF470,Usage!$B:$B,"&gt;="&amp;(PlanDate-AduWindow),Usage!$B:$B,"&lt;"&amp;PlanDate))/AduWindow))</f>
        <v/>
      </c>
      <c r="K470" s="18" t="str">
        <f aca="false">IF($A470="","",IF(AND(ISNUMBER($I470),N($I470)&gt;=0),$I470,$J470))</f>
        <v/>
      </c>
      <c r="L470" s="19" t="str">
        <f aca="false">IF($A470="","",IF($K470="","Needs ADU",IF($K470&lt;=0,"No recent demand",IF(N($D470)&lt;=0,"Needs lead time","Planned"))))</f>
        <v/>
      </c>
      <c r="M470" s="8" t="str">
        <f aca="false">IF($A470="","",IF(ISNUMBER(MATCH($C470,Profiles!$A$2:$A$100,0)),$C470,DefaultProfile))</f>
        <v/>
      </c>
      <c r="N470" s="20" t="str">
        <f aca="false">IF($A470="","",INDEX(Profiles!$D$2:$D$100,MATCH($M470,Profiles!$A$2:$A$100,0)))</f>
        <v/>
      </c>
      <c r="O470" s="20" t="str">
        <f aca="false">IF($A470="","",INDEX(Profiles!$E$2:$E$100,MATCH($M470,Profiles!$A$2:$A$100,0)))</f>
        <v/>
      </c>
      <c r="P470" s="21" t="str">
        <f aca="false">IF($L470&lt;&gt;"Planned","",$K470*$D470*$N470*(1+$O470))</f>
        <v/>
      </c>
      <c r="Q470" s="21" t="str">
        <f aca="false">IF($L470&lt;&gt;"Planned","",$K470*$D470)</f>
        <v/>
      </c>
      <c r="R470" s="21" t="str">
        <f aca="false">IF($L470&lt;&gt;"Planned","",MAX(N($E470),$K470*$D470*$N470,$K470*N($G470)))</f>
        <v/>
      </c>
      <c r="S470" s="21" t="str">
        <f aca="false">IF($L470&lt;&gt;"Planned","",$P470)</f>
        <v/>
      </c>
      <c r="T470" s="21" t="str">
        <f aca="false">IF($L470&lt;&gt;"Planned","",$P470+$Q470)</f>
        <v/>
      </c>
      <c r="U470" s="21" t="str">
        <f aca="false">IF($L470&lt;&gt;"Planned","",$T470+$R470)</f>
        <v/>
      </c>
      <c r="V470" s="8" t="str">
        <f aca="false">IF($A470="","",SUMIFS('Open supply'!$C:$C,'Open supply'!$A:$A,$AF470))</f>
        <v/>
      </c>
      <c r="W470" s="8" t="str">
        <f aca="false">IF($A470="","",SUMIFS('Open supply'!$C:$C,'Open supply'!$A:$A,$AF470,'Open supply'!$B:$B,"&lt;"&amp;PlanDate))</f>
        <v/>
      </c>
      <c r="X470" s="8" t="str">
        <f aca="false">IF($A470="","",SUMIFS('Open demand'!$G:$G,'Open demand'!$A:$A,$AF470))</f>
        <v/>
      </c>
      <c r="Y470" s="8" t="str">
        <f aca="false">IF($L470&lt;&gt;"Planned","",N($H470)+$V470-$X470)</f>
        <v/>
      </c>
      <c r="Z470" s="19" t="str">
        <f aca="false">IF($L470&lt;&gt;"Planned","",IF($Y470&lt;=$S470,"Red",IF($Y470&lt;=$T470,"Yellow",IF($Y470&lt;=$U470,"Green","Above green"))))</f>
        <v/>
      </c>
      <c r="AA470" s="22" t="str">
        <f aca="false">IF(OR($L470&lt;&gt;"Planned",N($U470)&lt;=0),"",$Y470/$U470)</f>
        <v/>
      </c>
      <c r="AB470" s="8" t="str">
        <f aca="false">IF($L470&lt;&gt;"Planned","",IF($Y470&lt;=$T470,ROUNDUP(MAX($U470-$Y470,N($E470))/IF(N($F470)&gt;0,$F470,1)-0.000000001,0)*IF(N($F470)&gt;0,$F470,1),""))</f>
        <v/>
      </c>
      <c r="AC470" s="23" t="str">
        <f aca="false">IF(N($AB470)&gt;0,PlanDate+ROUNDUP($D470,0),"")</f>
        <v/>
      </c>
      <c r="AD470" s="19" t="str">
        <f aca="false">IF($L470&lt;&gt;"Planned","",IF(N($H470)&lt;=0,"Stockout",IF(N($H470)&lt;$S470*0.5,"Critical",IF(N($H470)&lt;=$S470,"Low",IF(N($H470)&gt;$U470,"Over top of green","OK")))))</f>
        <v/>
      </c>
      <c r="AE470" s="8" t="str">
        <f aca="false">IF($A470="","",$A470&amp;"")</f>
        <v/>
      </c>
      <c r="AF470" s="8" t="str">
        <f aca="false">IF($A470="","",SUBSTITUTE(SUBSTITUTE(SUBSTITUTE($A470&amp;"","~","~~"),"*","~*"),"?","~?"))</f>
        <v/>
      </c>
    </row>
    <row r="471" customFormat="false" ht="15" hidden="false" customHeight="false" outlineLevel="0" collapsed="false">
      <c r="A471" s="11"/>
      <c r="B471" s="11"/>
      <c r="C471" s="11"/>
      <c r="D471" s="16"/>
      <c r="E471" s="11"/>
      <c r="F471" s="11"/>
      <c r="G471" s="9"/>
      <c r="H471" s="11"/>
      <c r="I471" s="17"/>
      <c r="J471" s="18" t="str">
        <f aca="false">IF($A471="","",IF(COUNT(Usage!$C:$C)=0,"",MAX(0,SUMIFS(Usage!$C:$C,Usage!$A:$A,$AF471,Usage!$B:$B,"&gt;="&amp;(PlanDate-AduWindow),Usage!$B:$B,"&lt;"&amp;PlanDate))/AduWindow))</f>
        <v/>
      </c>
      <c r="K471" s="18" t="str">
        <f aca="false">IF($A471="","",IF(AND(ISNUMBER($I471),N($I471)&gt;=0),$I471,$J471))</f>
        <v/>
      </c>
      <c r="L471" s="19" t="str">
        <f aca="false">IF($A471="","",IF($K471="","Needs ADU",IF($K471&lt;=0,"No recent demand",IF(N($D471)&lt;=0,"Needs lead time","Planned"))))</f>
        <v/>
      </c>
      <c r="M471" s="8" t="str">
        <f aca="false">IF($A471="","",IF(ISNUMBER(MATCH($C471,Profiles!$A$2:$A$100,0)),$C471,DefaultProfile))</f>
        <v/>
      </c>
      <c r="N471" s="20" t="str">
        <f aca="false">IF($A471="","",INDEX(Profiles!$D$2:$D$100,MATCH($M471,Profiles!$A$2:$A$100,0)))</f>
        <v/>
      </c>
      <c r="O471" s="20" t="str">
        <f aca="false">IF($A471="","",INDEX(Profiles!$E$2:$E$100,MATCH($M471,Profiles!$A$2:$A$100,0)))</f>
        <v/>
      </c>
      <c r="P471" s="21" t="str">
        <f aca="false">IF($L471&lt;&gt;"Planned","",$K471*$D471*$N471*(1+$O471))</f>
        <v/>
      </c>
      <c r="Q471" s="21" t="str">
        <f aca="false">IF($L471&lt;&gt;"Planned","",$K471*$D471)</f>
        <v/>
      </c>
      <c r="R471" s="21" t="str">
        <f aca="false">IF($L471&lt;&gt;"Planned","",MAX(N($E471),$K471*$D471*$N471,$K471*N($G471)))</f>
        <v/>
      </c>
      <c r="S471" s="21" t="str">
        <f aca="false">IF($L471&lt;&gt;"Planned","",$P471)</f>
        <v/>
      </c>
      <c r="T471" s="21" t="str">
        <f aca="false">IF($L471&lt;&gt;"Planned","",$P471+$Q471)</f>
        <v/>
      </c>
      <c r="U471" s="21" t="str">
        <f aca="false">IF($L471&lt;&gt;"Planned","",$T471+$R471)</f>
        <v/>
      </c>
      <c r="V471" s="8" t="str">
        <f aca="false">IF($A471="","",SUMIFS('Open supply'!$C:$C,'Open supply'!$A:$A,$AF471))</f>
        <v/>
      </c>
      <c r="W471" s="8" t="str">
        <f aca="false">IF($A471="","",SUMIFS('Open supply'!$C:$C,'Open supply'!$A:$A,$AF471,'Open supply'!$B:$B,"&lt;"&amp;PlanDate))</f>
        <v/>
      </c>
      <c r="X471" s="8" t="str">
        <f aca="false">IF($A471="","",SUMIFS('Open demand'!$G:$G,'Open demand'!$A:$A,$AF471))</f>
        <v/>
      </c>
      <c r="Y471" s="8" t="str">
        <f aca="false">IF($L471&lt;&gt;"Planned","",N($H471)+$V471-$X471)</f>
        <v/>
      </c>
      <c r="Z471" s="19" t="str">
        <f aca="false">IF($L471&lt;&gt;"Planned","",IF($Y471&lt;=$S471,"Red",IF($Y471&lt;=$T471,"Yellow",IF($Y471&lt;=$U471,"Green","Above green"))))</f>
        <v/>
      </c>
      <c r="AA471" s="22" t="str">
        <f aca="false">IF(OR($L471&lt;&gt;"Planned",N($U471)&lt;=0),"",$Y471/$U471)</f>
        <v/>
      </c>
      <c r="AB471" s="8" t="str">
        <f aca="false">IF($L471&lt;&gt;"Planned","",IF($Y471&lt;=$T471,ROUNDUP(MAX($U471-$Y471,N($E471))/IF(N($F471)&gt;0,$F471,1)-0.000000001,0)*IF(N($F471)&gt;0,$F471,1),""))</f>
        <v/>
      </c>
      <c r="AC471" s="23" t="str">
        <f aca="false">IF(N($AB471)&gt;0,PlanDate+ROUNDUP($D471,0),"")</f>
        <v/>
      </c>
      <c r="AD471" s="19" t="str">
        <f aca="false">IF($L471&lt;&gt;"Planned","",IF(N($H471)&lt;=0,"Stockout",IF(N($H471)&lt;$S471*0.5,"Critical",IF(N($H471)&lt;=$S471,"Low",IF(N($H471)&gt;$U471,"Over top of green","OK")))))</f>
        <v/>
      </c>
      <c r="AE471" s="8" t="str">
        <f aca="false">IF($A471="","",$A471&amp;"")</f>
        <v/>
      </c>
      <c r="AF471" s="8" t="str">
        <f aca="false">IF($A471="","",SUBSTITUTE(SUBSTITUTE(SUBSTITUTE($A471&amp;"","~","~~"),"*","~*"),"?","~?"))</f>
        <v/>
      </c>
    </row>
    <row r="472" customFormat="false" ht="15" hidden="false" customHeight="false" outlineLevel="0" collapsed="false">
      <c r="A472" s="11"/>
      <c r="B472" s="11"/>
      <c r="C472" s="11"/>
      <c r="D472" s="16"/>
      <c r="E472" s="11"/>
      <c r="F472" s="11"/>
      <c r="G472" s="9"/>
      <c r="H472" s="11"/>
      <c r="I472" s="17"/>
      <c r="J472" s="18" t="str">
        <f aca="false">IF($A472="","",IF(COUNT(Usage!$C:$C)=0,"",MAX(0,SUMIFS(Usage!$C:$C,Usage!$A:$A,$AF472,Usage!$B:$B,"&gt;="&amp;(PlanDate-AduWindow),Usage!$B:$B,"&lt;"&amp;PlanDate))/AduWindow))</f>
        <v/>
      </c>
      <c r="K472" s="18" t="str">
        <f aca="false">IF($A472="","",IF(AND(ISNUMBER($I472),N($I472)&gt;=0),$I472,$J472))</f>
        <v/>
      </c>
      <c r="L472" s="19" t="str">
        <f aca="false">IF($A472="","",IF($K472="","Needs ADU",IF($K472&lt;=0,"No recent demand",IF(N($D472)&lt;=0,"Needs lead time","Planned"))))</f>
        <v/>
      </c>
      <c r="M472" s="8" t="str">
        <f aca="false">IF($A472="","",IF(ISNUMBER(MATCH($C472,Profiles!$A$2:$A$100,0)),$C472,DefaultProfile))</f>
        <v/>
      </c>
      <c r="N472" s="20" t="str">
        <f aca="false">IF($A472="","",INDEX(Profiles!$D$2:$D$100,MATCH($M472,Profiles!$A$2:$A$100,0)))</f>
        <v/>
      </c>
      <c r="O472" s="20" t="str">
        <f aca="false">IF($A472="","",INDEX(Profiles!$E$2:$E$100,MATCH($M472,Profiles!$A$2:$A$100,0)))</f>
        <v/>
      </c>
      <c r="P472" s="21" t="str">
        <f aca="false">IF($L472&lt;&gt;"Planned","",$K472*$D472*$N472*(1+$O472))</f>
        <v/>
      </c>
      <c r="Q472" s="21" t="str">
        <f aca="false">IF($L472&lt;&gt;"Planned","",$K472*$D472)</f>
        <v/>
      </c>
      <c r="R472" s="21" t="str">
        <f aca="false">IF($L472&lt;&gt;"Planned","",MAX(N($E472),$K472*$D472*$N472,$K472*N($G472)))</f>
        <v/>
      </c>
      <c r="S472" s="21" t="str">
        <f aca="false">IF($L472&lt;&gt;"Planned","",$P472)</f>
        <v/>
      </c>
      <c r="T472" s="21" t="str">
        <f aca="false">IF($L472&lt;&gt;"Planned","",$P472+$Q472)</f>
        <v/>
      </c>
      <c r="U472" s="21" t="str">
        <f aca="false">IF($L472&lt;&gt;"Planned","",$T472+$R472)</f>
        <v/>
      </c>
      <c r="V472" s="8" t="str">
        <f aca="false">IF($A472="","",SUMIFS('Open supply'!$C:$C,'Open supply'!$A:$A,$AF472))</f>
        <v/>
      </c>
      <c r="W472" s="8" t="str">
        <f aca="false">IF($A472="","",SUMIFS('Open supply'!$C:$C,'Open supply'!$A:$A,$AF472,'Open supply'!$B:$B,"&lt;"&amp;PlanDate))</f>
        <v/>
      </c>
      <c r="X472" s="8" t="str">
        <f aca="false">IF($A472="","",SUMIFS('Open demand'!$G:$G,'Open demand'!$A:$A,$AF472))</f>
        <v/>
      </c>
      <c r="Y472" s="8" t="str">
        <f aca="false">IF($L472&lt;&gt;"Planned","",N($H472)+$V472-$X472)</f>
        <v/>
      </c>
      <c r="Z472" s="19" t="str">
        <f aca="false">IF($L472&lt;&gt;"Planned","",IF($Y472&lt;=$S472,"Red",IF($Y472&lt;=$T472,"Yellow",IF($Y472&lt;=$U472,"Green","Above green"))))</f>
        <v/>
      </c>
      <c r="AA472" s="22" t="str">
        <f aca="false">IF(OR($L472&lt;&gt;"Planned",N($U472)&lt;=0),"",$Y472/$U472)</f>
        <v/>
      </c>
      <c r="AB472" s="8" t="str">
        <f aca="false">IF($L472&lt;&gt;"Planned","",IF($Y472&lt;=$T472,ROUNDUP(MAX($U472-$Y472,N($E472))/IF(N($F472)&gt;0,$F472,1)-0.000000001,0)*IF(N($F472)&gt;0,$F472,1),""))</f>
        <v/>
      </c>
      <c r="AC472" s="23" t="str">
        <f aca="false">IF(N($AB472)&gt;0,PlanDate+ROUNDUP($D472,0),"")</f>
        <v/>
      </c>
      <c r="AD472" s="19" t="str">
        <f aca="false">IF($L472&lt;&gt;"Planned","",IF(N($H472)&lt;=0,"Stockout",IF(N($H472)&lt;$S472*0.5,"Critical",IF(N($H472)&lt;=$S472,"Low",IF(N($H472)&gt;$U472,"Over top of green","OK")))))</f>
        <v/>
      </c>
      <c r="AE472" s="8" t="str">
        <f aca="false">IF($A472="","",$A472&amp;"")</f>
        <v/>
      </c>
      <c r="AF472" s="8" t="str">
        <f aca="false">IF($A472="","",SUBSTITUTE(SUBSTITUTE(SUBSTITUTE($A472&amp;"","~","~~"),"*","~*"),"?","~?"))</f>
        <v/>
      </c>
    </row>
    <row r="473" customFormat="false" ht="15" hidden="false" customHeight="false" outlineLevel="0" collapsed="false">
      <c r="A473" s="11"/>
      <c r="B473" s="11"/>
      <c r="C473" s="11"/>
      <c r="D473" s="16"/>
      <c r="E473" s="11"/>
      <c r="F473" s="11"/>
      <c r="G473" s="9"/>
      <c r="H473" s="11"/>
      <c r="I473" s="17"/>
      <c r="J473" s="18" t="str">
        <f aca="false">IF($A473="","",IF(COUNT(Usage!$C:$C)=0,"",MAX(0,SUMIFS(Usage!$C:$C,Usage!$A:$A,$AF473,Usage!$B:$B,"&gt;="&amp;(PlanDate-AduWindow),Usage!$B:$B,"&lt;"&amp;PlanDate))/AduWindow))</f>
        <v/>
      </c>
      <c r="K473" s="18" t="str">
        <f aca="false">IF($A473="","",IF(AND(ISNUMBER($I473),N($I473)&gt;=0),$I473,$J473))</f>
        <v/>
      </c>
      <c r="L473" s="19" t="str">
        <f aca="false">IF($A473="","",IF($K473="","Needs ADU",IF($K473&lt;=0,"No recent demand",IF(N($D473)&lt;=0,"Needs lead time","Planned"))))</f>
        <v/>
      </c>
      <c r="M473" s="8" t="str">
        <f aca="false">IF($A473="","",IF(ISNUMBER(MATCH($C473,Profiles!$A$2:$A$100,0)),$C473,DefaultProfile))</f>
        <v/>
      </c>
      <c r="N473" s="20" t="str">
        <f aca="false">IF($A473="","",INDEX(Profiles!$D$2:$D$100,MATCH($M473,Profiles!$A$2:$A$100,0)))</f>
        <v/>
      </c>
      <c r="O473" s="20" t="str">
        <f aca="false">IF($A473="","",INDEX(Profiles!$E$2:$E$100,MATCH($M473,Profiles!$A$2:$A$100,0)))</f>
        <v/>
      </c>
      <c r="P473" s="21" t="str">
        <f aca="false">IF($L473&lt;&gt;"Planned","",$K473*$D473*$N473*(1+$O473))</f>
        <v/>
      </c>
      <c r="Q473" s="21" t="str">
        <f aca="false">IF($L473&lt;&gt;"Planned","",$K473*$D473)</f>
        <v/>
      </c>
      <c r="R473" s="21" t="str">
        <f aca="false">IF($L473&lt;&gt;"Planned","",MAX(N($E473),$K473*$D473*$N473,$K473*N($G473)))</f>
        <v/>
      </c>
      <c r="S473" s="21" t="str">
        <f aca="false">IF($L473&lt;&gt;"Planned","",$P473)</f>
        <v/>
      </c>
      <c r="T473" s="21" t="str">
        <f aca="false">IF($L473&lt;&gt;"Planned","",$P473+$Q473)</f>
        <v/>
      </c>
      <c r="U473" s="21" t="str">
        <f aca="false">IF($L473&lt;&gt;"Planned","",$T473+$R473)</f>
        <v/>
      </c>
      <c r="V473" s="8" t="str">
        <f aca="false">IF($A473="","",SUMIFS('Open supply'!$C:$C,'Open supply'!$A:$A,$AF473))</f>
        <v/>
      </c>
      <c r="W473" s="8" t="str">
        <f aca="false">IF($A473="","",SUMIFS('Open supply'!$C:$C,'Open supply'!$A:$A,$AF473,'Open supply'!$B:$B,"&lt;"&amp;PlanDate))</f>
        <v/>
      </c>
      <c r="X473" s="8" t="str">
        <f aca="false">IF($A473="","",SUMIFS('Open demand'!$G:$G,'Open demand'!$A:$A,$AF473))</f>
        <v/>
      </c>
      <c r="Y473" s="8" t="str">
        <f aca="false">IF($L473&lt;&gt;"Planned","",N($H473)+$V473-$X473)</f>
        <v/>
      </c>
      <c r="Z473" s="19" t="str">
        <f aca="false">IF($L473&lt;&gt;"Planned","",IF($Y473&lt;=$S473,"Red",IF($Y473&lt;=$T473,"Yellow",IF($Y473&lt;=$U473,"Green","Above green"))))</f>
        <v/>
      </c>
      <c r="AA473" s="22" t="str">
        <f aca="false">IF(OR($L473&lt;&gt;"Planned",N($U473)&lt;=0),"",$Y473/$U473)</f>
        <v/>
      </c>
      <c r="AB473" s="8" t="str">
        <f aca="false">IF($L473&lt;&gt;"Planned","",IF($Y473&lt;=$T473,ROUNDUP(MAX($U473-$Y473,N($E473))/IF(N($F473)&gt;0,$F473,1)-0.000000001,0)*IF(N($F473)&gt;0,$F473,1),""))</f>
        <v/>
      </c>
      <c r="AC473" s="23" t="str">
        <f aca="false">IF(N($AB473)&gt;0,PlanDate+ROUNDUP($D473,0),"")</f>
        <v/>
      </c>
      <c r="AD473" s="19" t="str">
        <f aca="false">IF($L473&lt;&gt;"Planned","",IF(N($H473)&lt;=0,"Stockout",IF(N($H473)&lt;$S473*0.5,"Critical",IF(N($H473)&lt;=$S473,"Low",IF(N($H473)&gt;$U473,"Over top of green","OK")))))</f>
        <v/>
      </c>
      <c r="AE473" s="8" t="str">
        <f aca="false">IF($A473="","",$A473&amp;"")</f>
        <v/>
      </c>
      <c r="AF473" s="8" t="str">
        <f aca="false">IF($A473="","",SUBSTITUTE(SUBSTITUTE(SUBSTITUTE($A473&amp;"","~","~~"),"*","~*"),"?","~?"))</f>
        <v/>
      </c>
    </row>
    <row r="474" customFormat="false" ht="15" hidden="false" customHeight="false" outlineLevel="0" collapsed="false">
      <c r="A474" s="11"/>
      <c r="B474" s="11"/>
      <c r="C474" s="11"/>
      <c r="D474" s="16"/>
      <c r="E474" s="11"/>
      <c r="F474" s="11"/>
      <c r="G474" s="9"/>
      <c r="H474" s="11"/>
      <c r="I474" s="17"/>
      <c r="J474" s="18" t="str">
        <f aca="false">IF($A474="","",IF(COUNT(Usage!$C:$C)=0,"",MAX(0,SUMIFS(Usage!$C:$C,Usage!$A:$A,$AF474,Usage!$B:$B,"&gt;="&amp;(PlanDate-AduWindow),Usage!$B:$B,"&lt;"&amp;PlanDate))/AduWindow))</f>
        <v/>
      </c>
      <c r="K474" s="18" t="str">
        <f aca="false">IF($A474="","",IF(AND(ISNUMBER($I474),N($I474)&gt;=0),$I474,$J474))</f>
        <v/>
      </c>
      <c r="L474" s="19" t="str">
        <f aca="false">IF($A474="","",IF($K474="","Needs ADU",IF($K474&lt;=0,"No recent demand",IF(N($D474)&lt;=0,"Needs lead time","Planned"))))</f>
        <v/>
      </c>
      <c r="M474" s="8" t="str">
        <f aca="false">IF($A474="","",IF(ISNUMBER(MATCH($C474,Profiles!$A$2:$A$100,0)),$C474,DefaultProfile))</f>
        <v/>
      </c>
      <c r="N474" s="20" t="str">
        <f aca="false">IF($A474="","",INDEX(Profiles!$D$2:$D$100,MATCH($M474,Profiles!$A$2:$A$100,0)))</f>
        <v/>
      </c>
      <c r="O474" s="20" t="str">
        <f aca="false">IF($A474="","",INDEX(Profiles!$E$2:$E$100,MATCH($M474,Profiles!$A$2:$A$100,0)))</f>
        <v/>
      </c>
      <c r="P474" s="21" t="str">
        <f aca="false">IF($L474&lt;&gt;"Planned","",$K474*$D474*$N474*(1+$O474))</f>
        <v/>
      </c>
      <c r="Q474" s="21" t="str">
        <f aca="false">IF($L474&lt;&gt;"Planned","",$K474*$D474)</f>
        <v/>
      </c>
      <c r="R474" s="21" t="str">
        <f aca="false">IF($L474&lt;&gt;"Planned","",MAX(N($E474),$K474*$D474*$N474,$K474*N($G474)))</f>
        <v/>
      </c>
      <c r="S474" s="21" t="str">
        <f aca="false">IF($L474&lt;&gt;"Planned","",$P474)</f>
        <v/>
      </c>
      <c r="T474" s="21" t="str">
        <f aca="false">IF($L474&lt;&gt;"Planned","",$P474+$Q474)</f>
        <v/>
      </c>
      <c r="U474" s="21" t="str">
        <f aca="false">IF($L474&lt;&gt;"Planned","",$T474+$R474)</f>
        <v/>
      </c>
      <c r="V474" s="8" t="str">
        <f aca="false">IF($A474="","",SUMIFS('Open supply'!$C:$C,'Open supply'!$A:$A,$AF474))</f>
        <v/>
      </c>
      <c r="W474" s="8" t="str">
        <f aca="false">IF($A474="","",SUMIFS('Open supply'!$C:$C,'Open supply'!$A:$A,$AF474,'Open supply'!$B:$B,"&lt;"&amp;PlanDate))</f>
        <v/>
      </c>
      <c r="X474" s="8" t="str">
        <f aca="false">IF($A474="","",SUMIFS('Open demand'!$G:$G,'Open demand'!$A:$A,$AF474))</f>
        <v/>
      </c>
      <c r="Y474" s="8" t="str">
        <f aca="false">IF($L474&lt;&gt;"Planned","",N($H474)+$V474-$X474)</f>
        <v/>
      </c>
      <c r="Z474" s="19" t="str">
        <f aca="false">IF($L474&lt;&gt;"Planned","",IF($Y474&lt;=$S474,"Red",IF($Y474&lt;=$T474,"Yellow",IF($Y474&lt;=$U474,"Green","Above green"))))</f>
        <v/>
      </c>
      <c r="AA474" s="22" t="str">
        <f aca="false">IF(OR($L474&lt;&gt;"Planned",N($U474)&lt;=0),"",$Y474/$U474)</f>
        <v/>
      </c>
      <c r="AB474" s="8" t="str">
        <f aca="false">IF($L474&lt;&gt;"Planned","",IF($Y474&lt;=$T474,ROUNDUP(MAX($U474-$Y474,N($E474))/IF(N($F474)&gt;0,$F474,1)-0.000000001,0)*IF(N($F474)&gt;0,$F474,1),""))</f>
        <v/>
      </c>
      <c r="AC474" s="23" t="str">
        <f aca="false">IF(N($AB474)&gt;0,PlanDate+ROUNDUP($D474,0),"")</f>
        <v/>
      </c>
      <c r="AD474" s="19" t="str">
        <f aca="false">IF($L474&lt;&gt;"Planned","",IF(N($H474)&lt;=0,"Stockout",IF(N($H474)&lt;$S474*0.5,"Critical",IF(N($H474)&lt;=$S474,"Low",IF(N($H474)&gt;$U474,"Over top of green","OK")))))</f>
        <v/>
      </c>
      <c r="AE474" s="8" t="str">
        <f aca="false">IF($A474="","",$A474&amp;"")</f>
        <v/>
      </c>
      <c r="AF474" s="8" t="str">
        <f aca="false">IF($A474="","",SUBSTITUTE(SUBSTITUTE(SUBSTITUTE($A474&amp;"","~","~~"),"*","~*"),"?","~?"))</f>
        <v/>
      </c>
    </row>
    <row r="475" customFormat="false" ht="15" hidden="false" customHeight="false" outlineLevel="0" collapsed="false">
      <c r="A475" s="11"/>
      <c r="B475" s="11"/>
      <c r="C475" s="11"/>
      <c r="D475" s="16"/>
      <c r="E475" s="11"/>
      <c r="F475" s="11"/>
      <c r="G475" s="9"/>
      <c r="H475" s="11"/>
      <c r="I475" s="17"/>
      <c r="J475" s="18" t="str">
        <f aca="false">IF($A475="","",IF(COUNT(Usage!$C:$C)=0,"",MAX(0,SUMIFS(Usage!$C:$C,Usage!$A:$A,$AF475,Usage!$B:$B,"&gt;="&amp;(PlanDate-AduWindow),Usage!$B:$B,"&lt;"&amp;PlanDate))/AduWindow))</f>
        <v/>
      </c>
      <c r="K475" s="18" t="str">
        <f aca="false">IF($A475="","",IF(AND(ISNUMBER($I475),N($I475)&gt;=0),$I475,$J475))</f>
        <v/>
      </c>
      <c r="L475" s="19" t="str">
        <f aca="false">IF($A475="","",IF($K475="","Needs ADU",IF($K475&lt;=0,"No recent demand",IF(N($D475)&lt;=0,"Needs lead time","Planned"))))</f>
        <v/>
      </c>
      <c r="M475" s="8" t="str">
        <f aca="false">IF($A475="","",IF(ISNUMBER(MATCH($C475,Profiles!$A$2:$A$100,0)),$C475,DefaultProfile))</f>
        <v/>
      </c>
      <c r="N475" s="20" t="str">
        <f aca="false">IF($A475="","",INDEX(Profiles!$D$2:$D$100,MATCH($M475,Profiles!$A$2:$A$100,0)))</f>
        <v/>
      </c>
      <c r="O475" s="20" t="str">
        <f aca="false">IF($A475="","",INDEX(Profiles!$E$2:$E$100,MATCH($M475,Profiles!$A$2:$A$100,0)))</f>
        <v/>
      </c>
      <c r="P475" s="21" t="str">
        <f aca="false">IF($L475&lt;&gt;"Planned","",$K475*$D475*$N475*(1+$O475))</f>
        <v/>
      </c>
      <c r="Q475" s="21" t="str">
        <f aca="false">IF($L475&lt;&gt;"Planned","",$K475*$D475)</f>
        <v/>
      </c>
      <c r="R475" s="21" t="str">
        <f aca="false">IF($L475&lt;&gt;"Planned","",MAX(N($E475),$K475*$D475*$N475,$K475*N($G475)))</f>
        <v/>
      </c>
      <c r="S475" s="21" t="str">
        <f aca="false">IF($L475&lt;&gt;"Planned","",$P475)</f>
        <v/>
      </c>
      <c r="T475" s="21" t="str">
        <f aca="false">IF($L475&lt;&gt;"Planned","",$P475+$Q475)</f>
        <v/>
      </c>
      <c r="U475" s="21" t="str">
        <f aca="false">IF($L475&lt;&gt;"Planned","",$T475+$R475)</f>
        <v/>
      </c>
      <c r="V475" s="8" t="str">
        <f aca="false">IF($A475="","",SUMIFS('Open supply'!$C:$C,'Open supply'!$A:$A,$AF475))</f>
        <v/>
      </c>
      <c r="W475" s="8" t="str">
        <f aca="false">IF($A475="","",SUMIFS('Open supply'!$C:$C,'Open supply'!$A:$A,$AF475,'Open supply'!$B:$B,"&lt;"&amp;PlanDate))</f>
        <v/>
      </c>
      <c r="X475" s="8" t="str">
        <f aca="false">IF($A475="","",SUMIFS('Open demand'!$G:$G,'Open demand'!$A:$A,$AF475))</f>
        <v/>
      </c>
      <c r="Y475" s="8" t="str">
        <f aca="false">IF($L475&lt;&gt;"Planned","",N($H475)+$V475-$X475)</f>
        <v/>
      </c>
      <c r="Z475" s="19" t="str">
        <f aca="false">IF($L475&lt;&gt;"Planned","",IF($Y475&lt;=$S475,"Red",IF($Y475&lt;=$T475,"Yellow",IF($Y475&lt;=$U475,"Green","Above green"))))</f>
        <v/>
      </c>
      <c r="AA475" s="22" t="str">
        <f aca="false">IF(OR($L475&lt;&gt;"Planned",N($U475)&lt;=0),"",$Y475/$U475)</f>
        <v/>
      </c>
      <c r="AB475" s="8" t="str">
        <f aca="false">IF($L475&lt;&gt;"Planned","",IF($Y475&lt;=$T475,ROUNDUP(MAX($U475-$Y475,N($E475))/IF(N($F475)&gt;0,$F475,1)-0.000000001,0)*IF(N($F475)&gt;0,$F475,1),""))</f>
        <v/>
      </c>
      <c r="AC475" s="23" t="str">
        <f aca="false">IF(N($AB475)&gt;0,PlanDate+ROUNDUP($D475,0),"")</f>
        <v/>
      </c>
      <c r="AD475" s="19" t="str">
        <f aca="false">IF($L475&lt;&gt;"Planned","",IF(N($H475)&lt;=0,"Stockout",IF(N($H475)&lt;$S475*0.5,"Critical",IF(N($H475)&lt;=$S475,"Low",IF(N($H475)&gt;$U475,"Over top of green","OK")))))</f>
        <v/>
      </c>
      <c r="AE475" s="8" t="str">
        <f aca="false">IF($A475="","",$A475&amp;"")</f>
        <v/>
      </c>
      <c r="AF475" s="8" t="str">
        <f aca="false">IF($A475="","",SUBSTITUTE(SUBSTITUTE(SUBSTITUTE($A475&amp;"","~","~~"),"*","~*"),"?","~?"))</f>
        <v/>
      </c>
    </row>
    <row r="476" customFormat="false" ht="15" hidden="false" customHeight="false" outlineLevel="0" collapsed="false">
      <c r="A476" s="11"/>
      <c r="B476" s="11"/>
      <c r="C476" s="11"/>
      <c r="D476" s="16"/>
      <c r="E476" s="11"/>
      <c r="F476" s="11"/>
      <c r="G476" s="9"/>
      <c r="H476" s="11"/>
      <c r="I476" s="17"/>
      <c r="J476" s="18" t="str">
        <f aca="false">IF($A476="","",IF(COUNT(Usage!$C:$C)=0,"",MAX(0,SUMIFS(Usage!$C:$C,Usage!$A:$A,$AF476,Usage!$B:$B,"&gt;="&amp;(PlanDate-AduWindow),Usage!$B:$B,"&lt;"&amp;PlanDate))/AduWindow))</f>
        <v/>
      </c>
      <c r="K476" s="18" t="str">
        <f aca="false">IF($A476="","",IF(AND(ISNUMBER($I476),N($I476)&gt;=0),$I476,$J476))</f>
        <v/>
      </c>
      <c r="L476" s="19" t="str">
        <f aca="false">IF($A476="","",IF($K476="","Needs ADU",IF($K476&lt;=0,"No recent demand",IF(N($D476)&lt;=0,"Needs lead time","Planned"))))</f>
        <v/>
      </c>
      <c r="M476" s="8" t="str">
        <f aca="false">IF($A476="","",IF(ISNUMBER(MATCH($C476,Profiles!$A$2:$A$100,0)),$C476,DefaultProfile))</f>
        <v/>
      </c>
      <c r="N476" s="20" t="str">
        <f aca="false">IF($A476="","",INDEX(Profiles!$D$2:$D$100,MATCH($M476,Profiles!$A$2:$A$100,0)))</f>
        <v/>
      </c>
      <c r="O476" s="20" t="str">
        <f aca="false">IF($A476="","",INDEX(Profiles!$E$2:$E$100,MATCH($M476,Profiles!$A$2:$A$100,0)))</f>
        <v/>
      </c>
      <c r="P476" s="21" t="str">
        <f aca="false">IF($L476&lt;&gt;"Planned","",$K476*$D476*$N476*(1+$O476))</f>
        <v/>
      </c>
      <c r="Q476" s="21" t="str">
        <f aca="false">IF($L476&lt;&gt;"Planned","",$K476*$D476)</f>
        <v/>
      </c>
      <c r="R476" s="21" t="str">
        <f aca="false">IF($L476&lt;&gt;"Planned","",MAX(N($E476),$K476*$D476*$N476,$K476*N($G476)))</f>
        <v/>
      </c>
      <c r="S476" s="21" t="str">
        <f aca="false">IF($L476&lt;&gt;"Planned","",$P476)</f>
        <v/>
      </c>
      <c r="T476" s="21" t="str">
        <f aca="false">IF($L476&lt;&gt;"Planned","",$P476+$Q476)</f>
        <v/>
      </c>
      <c r="U476" s="21" t="str">
        <f aca="false">IF($L476&lt;&gt;"Planned","",$T476+$R476)</f>
        <v/>
      </c>
      <c r="V476" s="8" t="str">
        <f aca="false">IF($A476="","",SUMIFS('Open supply'!$C:$C,'Open supply'!$A:$A,$AF476))</f>
        <v/>
      </c>
      <c r="W476" s="8" t="str">
        <f aca="false">IF($A476="","",SUMIFS('Open supply'!$C:$C,'Open supply'!$A:$A,$AF476,'Open supply'!$B:$B,"&lt;"&amp;PlanDate))</f>
        <v/>
      </c>
      <c r="X476" s="8" t="str">
        <f aca="false">IF($A476="","",SUMIFS('Open demand'!$G:$G,'Open demand'!$A:$A,$AF476))</f>
        <v/>
      </c>
      <c r="Y476" s="8" t="str">
        <f aca="false">IF($L476&lt;&gt;"Planned","",N($H476)+$V476-$X476)</f>
        <v/>
      </c>
      <c r="Z476" s="19" t="str">
        <f aca="false">IF($L476&lt;&gt;"Planned","",IF($Y476&lt;=$S476,"Red",IF($Y476&lt;=$T476,"Yellow",IF($Y476&lt;=$U476,"Green","Above green"))))</f>
        <v/>
      </c>
      <c r="AA476" s="22" t="str">
        <f aca="false">IF(OR($L476&lt;&gt;"Planned",N($U476)&lt;=0),"",$Y476/$U476)</f>
        <v/>
      </c>
      <c r="AB476" s="8" t="str">
        <f aca="false">IF($L476&lt;&gt;"Planned","",IF($Y476&lt;=$T476,ROUNDUP(MAX($U476-$Y476,N($E476))/IF(N($F476)&gt;0,$F476,1)-0.000000001,0)*IF(N($F476)&gt;0,$F476,1),""))</f>
        <v/>
      </c>
      <c r="AC476" s="23" t="str">
        <f aca="false">IF(N($AB476)&gt;0,PlanDate+ROUNDUP($D476,0),"")</f>
        <v/>
      </c>
      <c r="AD476" s="19" t="str">
        <f aca="false">IF($L476&lt;&gt;"Planned","",IF(N($H476)&lt;=0,"Stockout",IF(N($H476)&lt;$S476*0.5,"Critical",IF(N($H476)&lt;=$S476,"Low",IF(N($H476)&gt;$U476,"Over top of green","OK")))))</f>
        <v/>
      </c>
      <c r="AE476" s="8" t="str">
        <f aca="false">IF($A476="","",$A476&amp;"")</f>
        <v/>
      </c>
      <c r="AF476" s="8" t="str">
        <f aca="false">IF($A476="","",SUBSTITUTE(SUBSTITUTE(SUBSTITUTE($A476&amp;"","~","~~"),"*","~*"),"?","~?"))</f>
        <v/>
      </c>
    </row>
    <row r="477" customFormat="false" ht="15" hidden="false" customHeight="false" outlineLevel="0" collapsed="false">
      <c r="A477" s="11"/>
      <c r="B477" s="11"/>
      <c r="C477" s="11"/>
      <c r="D477" s="16"/>
      <c r="E477" s="11"/>
      <c r="F477" s="11"/>
      <c r="G477" s="9"/>
      <c r="H477" s="11"/>
      <c r="I477" s="17"/>
      <c r="J477" s="18" t="str">
        <f aca="false">IF($A477="","",IF(COUNT(Usage!$C:$C)=0,"",MAX(0,SUMIFS(Usage!$C:$C,Usage!$A:$A,$AF477,Usage!$B:$B,"&gt;="&amp;(PlanDate-AduWindow),Usage!$B:$B,"&lt;"&amp;PlanDate))/AduWindow))</f>
        <v/>
      </c>
      <c r="K477" s="18" t="str">
        <f aca="false">IF($A477="","",IF(AND(ISNUMBER($I477),N($I477)&gt;=0),$I477,$J477))</f>
        <v/>
      </c>
      <c r="L477" s="19" t="str">
        <f aca="false">IF($A477="","",IF($K477="","Needs ADU",IF($K477&lt;=0,"No recent demand",IF(N($D477)&lt;=0,"Needs lead time","Planned"))))</f>
        <v/>
      </c>
      <c r="M477" s="8" t="str">
        <f aca="false">IF($A477="","",IF(ISNUMBER(MATCH($C477,Profiles!$A$2:$A$100,0)),$C477,DefaultProfile))</f>
        <v/>
      </c>
      <c r="N477" s="20" t="str">
        <f aca="false">IF($A477="","",INDEX(Profiles!$D$2:$D$100,MATCH($M477,Profiles!$A$2:$A$100,0)))</f>
        <v/>
      </c>
      <c r="O477" s="20" t="str">
        <f aca="false">IF($A477="","",INDEX(Profiles!$E$2:$E$100,MATCH($M477,Profiles!$A$2:$A$100,0)))</f>
        <v/>
      </c>
      <c r="P477" s="21" t="str">
        <f aca="false">IF($L477&lt;&gt;"Planned","",$K477*$D477*$N477*(1+$O477))</f>
        <v/>
      </c>
      <c r="Q477" s="21" t="str">
        <f aca="false">IF($L477&lt;&gt;"Planned","",$K477*$D477)</f>
        <v/>
      </c>
      <c r="R477" s="21" t="str">
        <f aca="false">IF($L477&lt;&gt;"Planned","",MAX(N($E477),$K477*$D477*$N477,$K477*N($G477)))</f>
        <v/>
      </c>
      <c r="S477" s="21" t="str">
        <f aca="false">IF($L477&lt;&gt;"Planned","",$P477)</f>
        <v/>
      </c>
      <c r="T477" s="21" t="str">
        <f aca="false">IF($L477&lt;&gt;"Planned","",$P477+$Q477)</f>
        <v/>
      </c>
      <c r="U477" s="21" t="str">
        <f aca="false">IF($L477&lt;&gt;"Planned","",$T477+$R477)</f>
        <v/>
      </c>
      <c r="V477" s="8" t="str">
        <f aca="false">IF($A477="","",SUMIFS('Open supply'!$C:$C,'Open supply'!$A:$A,$AF477))</f>
        <v/>
      </c>
      <c r="W477" s="8" t="str">
        <f aca="false">IF($A477="","",SUMIFS('Open supply'!$C:$C,'Open supply'!$A:$A,$AF477,'Open supply'!$B:$B,"&lt;"&amp;PlanDate))</f>
        <v/>
      </c>
      <c r="X477" s="8" t="str">
        <f aca="false">IF($A477="","",SUMIFS('Open demand'!$G:$G,'Open demand'!$A:$A,$AF477))</f>
        <v/>
      </c>
      <c r="Y477" s="8" t="str">
        <f aca="false">IF($L477&lt;&gt;"Planned","",N($H477)+$V477-$X477)</f>
        <v/>
      </c>
      <c r="Z477" s="19" t="str">
        <f aca="false">IF($L477&lt;&gt;"Planned","",IF($Y477&lt;=$S477,"Red",IF($Y477&lt;=$T477,"Yellow",IF($Y477&lt;=$U477,"Green","Above green"))))</f>
        <v/>
      </c>
      <c r="AA477" s="22" t="str">
        <f aca="false">IF(OR($L477&lt;&gt;"Planned",N($U477)&lt;=0),"",$Y477/$U477)</f>
        <v/>
      </c>
      <c r="AB477" s="8" t="str">
        <f aca="false">IF($L477&lt;&gt;"Planned","",IF($Y477&lt;=$T477,ROUNDUP(MAX($U477-$Y477,N($E477))/IF(N($F477)&gt;0,$F477,1)-0.000000001,0)*IF(N($F477)&gt;0,$F477,1),""))</f>
        <v/>
      </c>
      <c r="AC477" s="23" t="str">
        <f aca="false">IF(N($AB477)&gt;0,PlanDate+ROUNDUP($D477,0),"")</f>
        <v/>
      </c>
      <c r="AD477" s="19" t="str">
        <f aca="false">IF($L477&lt;&gt;"Planned","",IF(N($H477)&lt;=0,"Stockout",IF(N($H477)&lt;$S477*0.5,"Critical",IF(N($H477)&lt;=$S477,"Low",IF(N($H477)&gt;$U477,"Over top of green","OK")))))</f>
        <v/>
      </c>
      <c r="AE477" s="8" t="str">
        <f aca="false">IF($A477="","",$A477&amp;"")</f>
        <v/>
      </c>
      <c r="AF477" s="8" t="str">
        <f aca="false">IF($A477="","",SUBSTITUTE(SUBSTITUTE(SUBSTITUTE($A477&amp;"","~","~~"),"*","~*"),"?","~?"))</f>
        <v/>
      </c>
    </row>
    <row r="478" customFormat="false" ht="15" hidden="false" customHeight="false" outlineLevel="0" collapsed="false">
      <c r="A478" s="11"/>
      <c r="B478" s="11"/>
      <c r="C478" s="11"/>
      <c r="D478" s="16"/>
      <c r="E478" s="11"/>
      <c r="F478" s="11"/>
      <c r="G478" s="9"/>
      <c r="H478" s="11"/>
      <c r="I478" s="17"/>
      <c r="J478" s="18" t="str">
        <f aca="false">IF($A478="","",IF(COUNT(Usage!$C:$C)=0,"",MAX(0,SUMIFS(Usage!$C:$C,Usage!$A:$A,$AF478,Usage!$B:$B,"&gt;="&amp;(PlanDate-AduWindow),Usage!$B:$B,"&lt;"&amp;PlanDate))/AduWindow))</f>
        <v/>
      </c>
      <c r="K478" s="18" t="str">
        <f aca="false">IF($A478="","",IF(AND(ISNUMBER($I478),N($I478)&gt;=0),$I478,$J478))</f>
        <v/>
      </c>
      <c r="L478" s="19" t="str">
        <f aca="false">IF($A478="","",IF($K478="","Needs ADU",IF($K478&lt;=0,"No recent demand",IF(N($D478)&lt;=0,"Needs lead time","Planned"))))</f>
        <v/>
      </c>
      <c r="M478" s="8" t="str">
        <f aca="false">IF($A478="","",IF(ISNUMBER(MATCH($C478,Profiles!$A$2:$A$100,0)),$C478,DefaultProfile))</f>
        <v/>
      </c>
      <c r="N478" s="20" t="str">
        <f aca="false">IF($A478="","",INDEX(Profiles!$D$2:$D$100,MATCH($M478,Profiles!$A$2:$A$100,0)))</f>
        <v/>
      </c>
      <c r="O478" s="20" t="str">
        <f aca="false">IF($A478="","",INDEX(Profiles!$E$2:$E$100,MATCH($M478,Profiles!$A$2:$A$100,0)))</f>
        <v/>
      </c>
      <c r="P478" s="21" t="str">
        <f aca="false">IF($L478&lt;&gt;"Planned","",$K478*$D478*$N478*(1+$O478))</f>
        <v/>
      </c>
      <c r="Q478" s="21" t="str">
        <f aca="false">IF($L478&lt;&gt;"Planned","",$K478*$D478)</f>
        <v/>
      </c>
      <c r="R478" s="21" t="str">
        <f aca="false">IF($L478&lt;&gt;"Planned","",MAX(N($E478),$K478*$D478*$N478,$K478*N($G478)))</f>
        <v/>
      </c>
      <c r="S478" s="21" t="str">
        <f aca="false">IF($L478&lt;&gt;"Planned","",$P478)</f>
        <v/>
      </c>
      <c r="T478" s="21" t="str">
        <f aca="false">IF($L478&lt;&gt;"Planned","",$P478+$Q478)</f>
        <v/>
      </c>
      <c r="U478" s="21" t="str">
        <f aca="false">IF($L478&lt;&gt;"Planned","",$T478+$R478)</f>
        <v/>
      </c>
      <c r="V478" s="8" t="str">
        <f aca="false">IF($A478="","",SUMIFS('Open supply'!$C:$C,'Open supply'!$A:$A,$AF478))</f>
        <v/>
      </c>
      <c r="W478" s="8" t="str">
        <f aca="false">IF($A478="","",SUMIFS('Open supply'!$C:$C,'Open supply'!$A:$A,$AF478,'Open supply'!$B:$B,"&lt;"&amp;PlanDate))</f>
        <v/>
      </c>
      <c r="X478" s="8" t="str">
        <f aca="false">IF($A478="","",SUMIFS('Open demand'!$G:$G,'Open demand'!$A:$A,$AF478))</f>
        <v/>
      </c>
      <c r="Y478" s="8" t="str">
        <f aca="false">IF($L478&lt;&gt;"Planned","",N($H478)+$V478-$X478)</f>
        <v/>
      </c>
      <c r="Z478" s="19" t="str">
        <f aca="false">IF($L478&lt;&gt;"Planned","",IF($Y478&lt;=$S478,"Red",IF($Y478&lt;=$T478,"Yellow",IF($Y478&lt;=$U478,"Green","Above green"))))</f>
        <v/>
      </c>
      <c r="AA478" s="22" t="str">
        <f aca="false">IF(OR($L478&lt;&gt;"Planned",N($U478)&lt;=0),"",$Y478/$U478)</f>
        <v/>
      </c>
      <c r="AB478" s="8" t="str">
        <f aca="false">IF($L478&lt;&gt;"Planned","",IF($Y478&lt;=$T478,ROUNDUP(MAX($U478-$Y478,N($E478))/IF(N($F478)&gt;0,$F478,1)-0.000000001,0)*IF(N($F478)&gt;0,$F478,1),""))</f>
        <v/>
      </c>
      <c r="AC478" s="23" t="str">
        <f aca="false">IF(N($AB478)&gt;0,PlanDate+ROUNDUP($D478,0),"")</f>
        <v/>
      </c>
      <c r="AD478" s="19" t="str">
        <f aca="false">IF($L478&lt;&gt;"Planned","",IF(N($H478)&lt;=0,"Stockout",IF(N($H478)&lt;$S478*0.5,"Critical",IF(N($H478)&lt;=$S478,"Low",IF(N($H478)&gt;$U478,"Over top of green","OK")))))</f>
        <v/>
      </c>
      <c r="AE478" s="8" t="str">
        <f aca="false">IF($A478="","",$A478&amp;"")</f>
        <v/>
      </c>
      <c r="AF478" s="8" t="str">
        <f aca="false">IF($A478="","",SUBSTITUTE(SUBSTITUTE(SUBSTITUTE($A478&amp;"","~","~~"),"*","~*"),"?","~?"))</f>
        <v/>
      </c>
    </row>
    <row r="479" customFormat="false" ht="15" hidden="false" customHeight="false" outlineLevel="0" collapsed="false">
      <c r="A479" s="11"/>
      <c r="B479" s="11"/>
      <c r="C479" s="11"/>
      <c r="D479" s="16"/>
      <c r="E479" s="11"/>
      <c r="F479" s="11"/>
      <c r="G479" s="9"/>
      <c r="H479" s="11"/>
      <c r="I479" s="17"/>
      <c r="J479" s="18" t="str">
        <f aca="false">IF($A479="","",IF(COUNT(Usage!$C:$C)=0,"",MAX(0,SUMIFS(Usage!$C:$C,Usage!$A:$A,$AF479,Usage!$B:$B,"&gt;="&amp;(PlanDate-AduWindow),Usage!$B:$B,"&lt;"&amp;PlanDate))/AduWindow))</f>
        <v/>
      </c>
      <c r="K479" s="18" t="str">
        <f aca="false">IF($A479="","",IF(AND(ISNUMBER($I479),N($I479)&gt;=0),$I479,$J479))</f>
        <v/>
      </c>
      <c r="L479" s="19" t="str">
        <f aca="false">IF($A479="","",IF($K479="","Needs ADU",IF($K479&lt;=0,"No recent demand",IF(N($D479)&lt;=0,"Needs lead time","Planned"))))</f>
        <v/>
      </c>
      <c r="M479" s="8" t="str">
        <f aca="false">IF($A479="","",IF(ISNUMBER(MATCH($C479,Profiles!$A$2:$A$100,0)),$C479,DefaultProfile))</f>
        <v/>
      </c>
      <c r="N479" s="20" t="str">
        <f aca="false">IF($A479="","",INDEX(Profiles!$D$2:$D$100,MATCH($M479,Profiles!$A$2:$A$100,0)))</f>
        <v/>
      </c>
      <c r="O479" s="20" t="str">
        <f aca="false">IF($A479="","",INDEX(Profiles!$E$2:$E$100,MATCH($M479,Profiles!$A$2:$A$100,0)))</f>
        <v/>
      </c>
      <c r="P479" s="21" t="str">
        <f aca="false">IF($L479&lt;&gt;"Planned","",$K479*$D479*$N479*(1+$O479))</f>
        <v/>
      </c>
      <c r="Q479" s="21" t="str">
        <f aca="false">IF($L479&lt;&gt;"Planned","",$K479*$D479)</f>
        <v/>
      </c>
      <c r="R479" s="21" t="str">
        <f aca="false">IF($L479&lt;&gt;"Planned","",MAX(N($E479),$K479*$D479*$N479,$K479*N($G479)))</f>
        <v/>
      </c>
      <c r="S479" s="21" t="str">
        <f aca="false">IF($L479&lt;&gt;"Planned","",$P479)</f>
        <v/>
      </c>
      <c r="T479" s="21" t="str">
        <f aca="false">IF($L479&lt;&gt;"Planned","",$P479+$Q479)</f>
        <v/>
      </c>
      <c r="U479" s="21" t="str">
        <f aca="false">IF($L479&lt;&gt;"Planned","",$T479+$R479)</f>
        <v/>
      </c>
      <c r="V479" s="8" t="str">
        <f aca="false">IF($A479="","",SUMIFS('Open supply'!$C:$C,'Open supply'!$A:$A,$AF479))</f>
        <v/>
      </c>
      <c r="W479" s="8" t="str">
        <f aca="false">IF($A479="","",SUMIFS('Open supply'!$C:$C,'Open supply'!$A:$A,$AF479,'Open supply'!$B:$B,"&lt;"&amp;PlanDate))</f>
        <v/>
      </c>
      <c r="X479" s="8" t="str">
        <f aca="false">IF($A479="","",SUMIFS('Open demand'!$G:$G,'Open demand'!$A:$A,$AF479))</f>
        <v/>
      </c>
      <c r="Y479" s="8" t="str">
        <f aca="false">IF($L479&lt;&gt;"Planned","",N($H479)+$V479-$X479)</f>
        <v/>
      </c>
      <c r="Z479" s="19" t="str">
        <f aca="false">IF($L479&lt;&gt;"Planned","",IF($Y479&lt;=$S479,"Red",IF($Y479&lt;=$T479,"Yellow",IF($Y479&lt;=$U479,"Green","Above green"))))</f>
        <v/>
      </c>
      <c r="AA479" s="22" t="str">
        <f aca="false">IF(OR($L479&lt;&gt;"Planned",N($U479)&lt;=0),"",$Y479/$U479)</f>
        <v/>
      </c>
      <c r="AB479" s="8" t="str">
        <f aca="false">IF($L479&lt;&gt;"Planned","",IF($Y479&lt;=$T479,ROUNDUP(MAX($U479-$Y479,N($E479))/IF(N($F479)&gt;0,$F479,1)-0.000000001,0)*IF(N($F479)&gt;0,$F479,1),""))</f>
        <v/>
      </c>
      <c r="AC479" s="23" t="str">
        <f aca="false">IF(N($AB479)&gt;0,PlanDate+ROUNDUP($D479,0),"")</f>
        <v/>
      </c>
      <c r="AD479" s="19" t="str">
        <f aca="false">IF($L479&lt;&gt;"Planned","",IF(N($H479)&lt;=0,"Stockout",IF(N($H479)&lt;$S479*0.5,"Critical",IF(N($H479)&lt;=$S479,"Low",IF(N($H479)&gt;$U479,"Over top of green","OK")))))</f>
        <v/>
      </c>
      <c r="AE479" s="8" t="str">
        <f aca="false">IF($A479="","",$A479&amp;"")</f>
        <v/>
      </c>
      <c r="AF479" s="8" t="str">
        <f aca="false">IF($A479="","",SUBSTITUTE(SUBSTITUTE(SUBSTITUTE($A479&amp;"","~","~~"),"*","~*"),"?","~?"))</f>
        <v/>
      </c>
    </row>
    <row r="480" customFormat="false" ht="15" hidden="false" customHeight="false" outlineLevel="0" collapsed="false">
      <c r="A480" s="11"/>
      <c r="B480" s="11"/>
      <c r="C480" s="11"/>
      <c r="D480" s="16"/>
      <c r="E480" s="11"/>
      <c r="F480" s="11"/>
      <c r="G480" s="9"/>
      <c r="H480" s="11"/>
      <c r="I480" s="17"/>
      <c r="J480" s="18" t="str">
        <f aca="false">IF($A480="","",IF(COUNT(Usage!$C:$C)=0,"",MAX(0,SUMIFS(Usage!$C:$C,Usage!$A:$A,$AF480,Usage!$B:$B,"&gt;="&amp;(PlanDate-AduWindow),Usage!$B:$B,"&lt;"&amp;PlanDate))/AduWindow))</f>
        <v/>
      </c>
      <c r="K480" s="18" t="str">
        <f aca="false">IF($A480="","",IF(AND(ISNUMBER($I480),N($I480)&gt;=0),$I480,$J480))</f>
        <v/>
      </c>
      <c r="L480" s="19" t="str">
        <f aca="false">IF($A480="","",IF($K480="","Needs ADU",IF($K480&lt;=0,"No recent demand",IF(N($D480)&lt;=0,"Needs lead time","Planned"))))</f>
        <v/>
      </c>
      <c r="M480" s="8" t="str">
        <f aca="false">IF($A480="","",IF(ISNUMBER(MATCH($C480,Profiles!$A$2:$A$100,0)),$C480,DefaultProfile))</f>
        <v/>
      </c>
      <c r="N480" s="20" t="str">
        <f aca="false">IF($A480="","",INDEX(Profiles!$D$2:$D$100,MATCH($M480,Profiles!$A$2:$A$100,0)))</f>
        <v/>
      </c>
      <c r="O480" s="20" t="str">
        <f aca="false">IF($A480="","",INDEX(Profiles!$E$2:$E$100,MATCH($M480,Profiles!$A$2:$A$100,0)))</f>
        <v/>
      </c>
      <c r="P480" s="21" t="str">
        <f aca="false">IF($L480&lt;&gt;"Planned","",$K480*$D480*$N480*(1+$O480))</f>
        <v/>
      </c>
      <c r="Q480" s="21" t="str">
        <f aca="false">IF($L480&lt;&gt;"Planned","",$K480*$D480)</f>
        <v/>
      </c>
      <c r="R480" s="21" t="str">
        <f aca="false">IF($L480&lt;&gt;"Planned","",MAX(N($E480),$K480*$D480*$N480,$K480*N($G480)))</f>
        <v/>
      </c>
      <c r="S480" s="21" t="str">
        <f aca="false">IF($L480&lt;&gt;"Planned","",$P480)</f>
        <v/>
      </c>
      <c r="T480" s="21" t="str">
        <f aca="false">IF($L480&lt;&gt;"Planned","",$P480+$Q480)</f>
        <v/>
      </c>
      <c r="U480" s="21" t="str">
        <f aca="false">IF($L480&lt;&gt;"Planned","",$T480+$R480)</f>
        <v/>
      </c>
      <c r="V480" s="8" t="str">
        <f aca="false">IF($A480="","",SUMIFS('Open supply'!$C:$C,'Open supply'!$A:$A,$AF480))</f>
        <v/>
      </c>
      <c r="W480" s="8" t="str">
        <f aca="false">IF($A480="","",SUMIFS('Open supply'!$C:$C,'Open supply'!$A:$A,$AF480,'Open supply'!$B:$B,"&lt;"&amp;PlanDate))</f>
        <v/>
      </c>
      <c r="X480" s="8" t="str">
        <f aca="false">IF($A480="","",SUMIFS('Open demand'!$G:$G,'Open demand'!$A:$A,$AF480))</f>
        <v/>
      </c>
      <c r="Y480" s="8" t="str">
        <f aca="false">IF($L480&lt;&gt;"Planned","",N($H480)+$V480-$X480)</f>
        <v/>
      </c>
      <c r="Z480" s="19" t="str">
        <f aca="false">IF($L480&lt;&gt;"Planned","",IF($Y480&lt;=$S480,"Red",IF($Y480&lt;=$T480,"Yellow",IF($Y480&lt;=$U480,"Green","Above green"))))</f>
        <v/>
      </c>
      <c r="AA480" s="22" t="str">
        <f aca="false">IF(OR($L480&lt;&gt;"Planned",N($U480)&lt;=0),"",$Y480/$U480)</f>
        <v/>
      </c>
      <c r="AB480" s="8" t="str">
        <f aca="false">IF($L480&lt;&gt;"Planned","",IF($Y480&lt;=$T480,ROUNDUP(MAX($U480-$Y480,N($E480))/IF(N($F480)&gt;0,$F480,1)-0.000000001,0)*IF(N($F480)&gt;0,$F480,1),""))</f>
        <v/>
      </c>
      <c r="AC480" s="23" t="str">
        <f aca="false">IF(N($AB480)&gt;0,PlanDate+ROUNDUP($D480,0),"")</f>
        <v/>
      </c>
      <c r="AD480" s="19" t="str">
        <f aca="false">IF($L480&lt;&gt;"Planned","",IF(N($H480)&lt;=0,"Stockout",IF(N($H480)&lt;$S480*0.5,"Critical",IF(N($H480)&lt;=$S480,"Low",IF(N($H480)&gt;$U480,"Over top of green","OK")))))</f>
        <v/>
      </c>
      <c r="AE480" s="8" t="str">
        <f aca="false">IF($A480="","",$A480&amp;"")</f>
        <v/>
      </c>
      <c r="AF480" s="8" t="str">
        <f aca="false">IF($A480="","",SUBSTITUTE(SUBSTITUTE(SUBSTITUTE($A480&amp;"","~","~~"),"*","~*"),"?","~?"))</f>
        <v/>
      </c>
    </row>
    <row r="481" customFormat="false" ht="15" hidden="false" customHeight="false" outlineLevel="0" collapsed="false">
      <c r="A481" s="11"/>
      <c r="B481" s="11"/>
      <c r="C481" s="11"/>
      <c r="D481" s="16"/>
      <c r="E481" s="11"/>
      <c r="F481" s="11"/>
      <c r="G481" s="9"/>
      <c r="H481" s="11"/>
      <c r="I481" s="17"/>
      <c r="J481" s="18" t="str">
        <f aca="false">IF($A481="","",IF(COUNT(Usage!$C:$C)=0,"",MAX(0,SUMIFS(Usage!$C:$C,Usage!$A:$A,$AF481,Usage!$B:$B,"&gt;="&amp;(PlanDate-AduWindow),Usage!$B:$B,"&lt;"&amp;PlanDate))/AduWindow))</f>
        <v/>
      </c>
      <c r="K481" s="18" t="str">
        <f aca="false">IF($A481="","",IF(AND(ISNUMBER($I481),N($I481)&gt;=0),$I481,$J481))</f>
        <v/>
      </c>
      <c r="L481" s="19" t="str">
        <f aca="false">IF($A481="","",IF($K481="","Needs ADU",IF($K481&lt;=0,"No recent demand",IF(N($D481)&lt;=0,"Needs lead time","Planned"))))</f>
        <v/>
      </c>
      <c r="M481" s="8" t="str">
        <f aca="false">IF($A481="","",IF(ISNUMBER(MATCH($C481,Profiles!$A$2:$A$100,0)),$C481,DefaultProfile))</f>
        <v/>
      </c>
      <c r="N481" s="20" t="str">
        <f aca="false">IF($A481="","",INDEX(Profiles!$D$2:$D$100,MATCH($M481,Profiles!$A$2:$A$100,0)))</f>
        <v/>
      </c>
      <c r="O481" s="20" t="str">
        <f aca="false">IF($A481="","",INDEX(Profiles!$E$2:$E$100,MATCH($M481,Profiles!$A$2:$A$100,0)))</f>
        <v/>
      </c>
      <c r="P481" s="21" t="str">
        <f aca="false">IF($L481&lt;&gt;"Planned","",$K481*$D481*$N481*(1+$O481))</f>
        <v/>
      </c>
      <c r="Q481" s="21" t="str">
        <f aca="false">IF($L481&lt;&gt;"Planned","",$K481*$D481)</f>
        <v/>
      </c>
      <c r="R481" s="21" t="str">
        <f aca="false">IF($L481&lt;&gt;"Planned","",MAX(N($E481),$K481*$D481*$N481,$K481*N($G481)))</f>
        <v/>
      </c>
      <c r="S481" s="21" t="str">
        <f aca="false">IF($L481&lt;&gt;"Planned","",$P481)</f>
        <v/>
      </c>
      <c r="T481" s="21" t="str">
        <f aca="false">IF($L481&lt;&gt;"Planned","",$P481+$Q481)</f>
        <v/>
      </c>
      <c r="U481" s="21" t="str">
        <f aca="false">IF($L481&lt;&gt;"Planned","",$T481+$R481)</f>
        <v/>
      </c>
      <c r="V481" s="8" t="str">
        <f aca="false">IF($A481="","",SUMIFS('Open supply'!$C:$C,'Open supply'!$A:$A,$AF481))</f>
        <v/>
      </c>
      <c r="W481" s="8" t="str">
        <f aca="false">IF($A481="","",SUMIFS('Open supply'!$C:$C,'Open supply'!$A:$A,$AF481,'Open supply'!$B:$B,"&lt;"&amp;PlanDate))</f>
        <v/>
      </c>
      <c r="X481" s="8" t="str">
        <f aca="false">IF($A481="","",SUMIFS('Open demand'!$G:$G,'Open demand'!$A:$A,$AF481))</f>
        <v/>
      </c>
      <c r="Y481" s="8" t="str">
        <f aca="false">IF($L481&lt;&gt;"Planned","",N($H481)+$V481-$X481)</f>
        <v/>
      </c>
      <c r="Z481" s="19" t="str">
        <f aca="false">IF($L481&lt;&gt;"Planned","",IF($Y481&lt;=$S481,"Red",IF($Y481&lt;=$T481,"Yellow",IF($Y481&lt;=$U481,"Green","Above green"))))</f>
        <v/>
      </c>
      <c r="AA481" s="22" t="str">
        <f aca="false">IF(OR($L481&lt;&gt;"Planned",N($U481)&lt;=0),"",$Y481/$U481)</f>
        <v/>
      </c>
      <c r="AB481" s="8" t="str">
        <f aca="false">IF($L481&lt;&gt;"Planned","",IF($Y481&lt;=$T481,ROUNDUP(MAX($U481-$Y481,N($E481))/IF(N($F481)&gt;0,$F481,1)-0.000000001,0)*IF(N($F481)&gt;0,$F481,1),""))</f>
        <v/>
      </c>
      <c r="AC481" s="23" t="str">
        <f aca="false">IF(N($AB481)&gt;0,PlanDate+ROUNDUP($D481,0),"")</f>
        <v/>
      </c>
      <c r="AD481" s="19" t="str">
        <f aca="false">IF($L481&lt;&gt;"Planned","",IF(N($H481)&lt;=0,"Stockout",IF(N($H481)&lt;$S481*0.5,"Critical",IF(N($H481)&lt;=$S481,"Low",IF(N($H481)&gt;$U481,"Over top of green","OK")))))</f>
        <v/>
      </c>
      <c r="AE481" s="8" t="str">
        <f aca="false">IF($A481="","",$A481&amp;"")</f>
        <v/>
      </c>
      <c r="AF481" s="8" t="str">
        <f aca="false">IF($A481="","",SUBSTITUTE(SUBSTITUTE(SUBSTITUTE($A481&amp;"","~","~~"),"*","~*"),"?","~?"))</f>
        <v/>
      </c>
    </row>
    <row r="482" customFormat="false" ht="15" hidden="false" customHeight="false" outlineLevel="0" collapsed="false">
      <c r="A482" s="11"/>
      <c r="B482" s="11"/>
      <c r="C482" s="11"/>
      <c r="D482" s="16"/>
      <c r="E482" s="11"/>
      <c r="F482" s="11"/>
      <c r="G482" s="9"/>
      <c r="H482" s="11"/>
      <c r="I482" s="17"/>
      <c r="J482" s="18" t="str">
        <f aca="false">IF($A482="","",IF(COUNT(Usage!$C:$C)=0,"",MAX(0,SUMIFS(Usage!$C:$C,Usage!$A:$A,$AF482,Usage!$B:$B,"&gt;="&amp;(PlanDate-AduWindow),Usage!$B:$B,"&lt;"&amp;PlanDate))/AduWindow))</f>
        <v/>
      </c>
      <c r="K482" s="18" t="str">
        <f aca="false">IF($A482="","",IF(AND(ISNUMBER($I482),N($I482)&gt;=0),$I482,$J482))</f>
        <v/>
      </c>
      <c r="L482" s="19" t="str">
        <f aca="false">IF($A482="","",IF($K482="","Needs ADU",IF($K482&lt;=0,"No recent demand",IF(N($D482)&lt;=0,"Needs lead time","Planned"))))</f>
        <v/>
      </c>
      <c r="M482" s="8" t="str">
        <f aca="false">IF($A482="","",IF(ISNUMBER(MATCH($C482,Profiles!$A$2:$A$100,0)),$C482,DefaultProfile))</f>
        <v/>
      </c>
      <c r="N482" s="20" t="str">
        <f aca="false">IF($A482="","",INDEX(Profiles!$D$2:$D$100,MATCH($M482,Profiles!$A$2:$A$100,0)))</f>
        <v/>
      </c>
      <c r="O482" s="20" t="str">
        <f aca="false">IF($A482="","",INDEX(Profiles!$E$2:$E$100,MATCH($M482,Profiles!$A$2:$A$100,0)))</f>
        <v/>
      </c>
      <c r="P482" s="21" t="str">
        <f aca="false">IF($L482&lt;&gt;"Planned","",$K482*$D482*$N482*(1+$O482))</f>
        <v/>
      </c>
      <c r="Q482" s="21" t="str">
        <f aca="false">IF($L482&lt;&gt;"Planned","",$K482*$D482)</f>
        <v/>
      </c>
      <c r="R482" s="21" t="str">
        <f aca="false">IF($L482&lt;&gt;"Planned","",MAX(N($E482),$K482*$D482*$N482,$K482*N($G482)))</f>
        <v/>
      </c>
      <c r="S482" s="21" t="str">
        <f aca="false">IF($L482&lt;&gt;"Planned","",$P482)</f>
        <v/>
      </c>
      <c r="T482" s="21" t="str">
        <f aca="false">IF($L482&lt;&gt;"Planned","",$P482+$Q482)</f>
        <v/>
      </c>
      <c r="U482" s="21" t="str">
        <f aca="false">IF($L482&lt;&gt;"Planned","",$T482+$R482)</f>
        <v/>
      </c>
      <c r="V482" s="8" t="str">
        <f aca="false">IF($A482="","",SUMIFS('Open supply'!$C:$C,'Open supply'!$A:$A,$AF482))</f>
        <v/>
      </c>
      <c r="W482" s="8" t="str">
        <f aca="false">IF($A482="","",SUMIFS('Open supply'!$C:$C,'Open supply'!$A:$A,$AF482,'Open supply'!$B:$B,"&lt;"&amp;PlanDate))</f>
        <v/>
      </c>
      <c r="X482" s="8" t="str">
        <f aca="false">IF($A482="","",SUMIFS('Open demand'!$G:$G,'Open demand'!$A:$A,$AF482))</f>
        <v/>
      </c>
      <c r="Y482" s="8" t="str">
        <f aca="false">IF($L482&lt;&gt;"Planned","",N($H482)+$V482-$X482)</f>
        <v/>
      </c>
      <c r="Z482" s="19" t="str">
        <f aca="false">IF($L482&lt;&gt;"Planned","",IF($Y482&lt;=$S482,"Red",IF($Y482&lt;=$T482,"Yellow",IF($Y482&lt;=$U482,"Green","Above green"))))</f>
        <v/>
      </c>
      <c r="AA482" s="22" t="str">
        <f aca="false">IF(OR($L482&lt;&gt;"Planned",N($U482)&lt;=0),"",$Y482/$U482)</f>
        <v/>
      </c>
      <c r="AB482" s="8" t="str">
        <f aca="false">IF($L482&lt;&gt;"Planned","",IF($Y482&lt;=$T482,ROUNDUP(MAX($U482-$Y482,N($E482))/IF(N($F482)&gt;0,$F482,1)-0.000000001,0)*IF(N($F482)&gt;0,$F482,1),""))</f>
        <v/>
      </c>
      <c r="AC482" s="23" t="str">
        <f aca="false">IF(N($AB482)&gt;0,PlanDate+ROUNDUP($D482,0),"")</f>
        <v/>
      </c>
      <c r="AD482" s="19" t="str">
        <f aca="false">IF($L482&lt;&gt;"Planned","",IF(N($H482)&lt;=0,"Stockout",IF(N($H482)&lt;$S482*0.5,"Critical",IF(N($H482)&lt;=$S482,"Low",IF(N($H482)&gt;$U482,"Over top of green","OK")))))</f>
        <v/>
      </c>
      <c r="AE482" s="8" t="str">
        <f aca="false">IF($A482="","",$A482&amp;"")</f>
        <v/>
      </c>
      <c r="AF482" s="8" t="str">
        <f aca="false">IF($A482="","",SUBSTITUTE(SUBSTITUTE(SUBSTITUTE($A482&amp;"","~","~~"),"*","~*"),"?","~?"))</f>
        <v/>
      </c>
    </row>
    <row r="483" customFormat="false" ht="15" hidden="false" customHeight="false" outlineLevel="0" collapsed="false">
      <c r="A483" s="11"/>
      <c r="B483" s="11"/>
      <c r="C483" s="11"/>
      <c r="D483" s="16"/>
      <c r="E483" s="11"/>
      <c r="F483" s="11"/>
      <c r="G483" s="9"/>
      <c r="H483" s="11"/>
      <c r="I483" s="17"/>
      <c r="J483" s="18" t="str">
        <f aca="false">IF($A483="","",IF(COUNT(Usage!$C:$C)=0,"",MAX(0,SUMIFS(Usage!$C:$C,Usage!$A:$A,$AF483,Usage!$B:$B,"&gt;="&amp;(PlanDate-AduWindow),Usage!$B:$B,"&lt;"&amp;PlanDate))/AduWindow))</f>
        <v/>
      </c>
      <c r="K483" s="18" t="str">
        <f aca="false">IF($A483="","",IF(AND(ISNUMBER($I483),N($I483)&gt;=0),$I483,$J483))</f>
        <v/>
      </c>
      <c r="L483" s="19" t="str">
        <f aca="false">IF($A483="","",IF($K483="","Needs ADU",IF($K483&lt;=0,"No recent demand",IF(N($D483)&lt;=0,"Needs lead time","Planned"))))</f>
        <v/>
      </c>
      <c r="M483" s="8" t="str">
        <f aca="false">IF($A483="","",IF(ISNUMBER(MATCH($C483,Profiles!$A$2:$A$100,0)),$C483,DefaultProfile))</f>
        <v/>
      </c>
      <c r="N483" s="20" t="str">
        <f aca="false">IF($A483="","",INDEX(Profiles!$D$2:$D$100,MATCH($M483,Profiles!$A$2:$A$100,0)))</f>
        <v/>
      </c>
      <c r="O483" s="20" t="str">
        <f aca="false">IF($A483="","",INDEX(Profiles!$E$2:$E$100,MATCH($M483,Profiles!$A$2:$A$100,0)))</f>
        <v/>
      </c>
      <c r="P483" s="21" t="str">
        <f aca="false">IF($L483&lt;&gt;"Planned","",$K483*$D483*$N483*(1+$O483))</f>
        <v/>
      </c>
      <c r="Q483" s="21" t="str">
        <f aca="false">IF($L483&lt;&gt;"Planned","",$K483*$D483)</f>
        <v/>
      </c>
      <c r="R483" s="21" t="str">
        <f aca="false">IF($L483&lt;&gt;"Planned","",MAX(N($E483),$K483*$D483*$N483,$K483*N($G483)))</f>
        <v/>
      </c>
      <c r="S483" s="21" t="str">
        <f aca="false">IF($L483&lt;&gt;"Planned","",$P483)</f>
        <v/>
      </c>
      <c r="T483" s="21" t="str">
        <f aca="false">IF($L483&lt;&gt;"Planned","",$P483+$Q483)</f>
        <v/>
      </c>
      <c r="U483" s="21" t="str">
        <f aca="false">IF($L483&lt;&gt;"Planned","",$T483+$R483)</f>
        <v/>
      </c>
      <c r="V483" s="8" t="str">
        <f aca="false">IF($A483="","",SUMIFS('Open supply'!$C:$C,'Open supply'!$A:$A,$AF483))</f>
        <v/>
      </c>
      <c r="W483" s="8" t="str">
        <f aca="false">IF($A483="","",SUMIFS('Open supply'!$C:$C,'Open supply'!$A:$A,$AF483,'Open supply'!$B:$B,"&lt;"&amp;PlanDate))</f>
        <v/>
      </c>
      <c r="X483" s="8" t="str">
        <f aca="false">IF($A483="","",SUMIFS('Open demand'!$G:$G,'Open demand'!$A:$A,$AF483))</f>
        <v/>
      </c>
      <c r="Y483" s="8" t="str">
        <f aca="false">IF($L483&lt;&gt;"Planned","",N($H483)+$V483-$X483)</f>
        <v/>
      </c>
      <c r="Z483" s="19" t="str">
        <f aca="false">IF($L483&lt;&gt;"Planned","",IF($Y483&lt;=$S483,"Red",IF($Y483&lt;=$T483,"Yellow",IF($Y483&lt;=$U483,"Green","Above green"))))</f>
        <v/>
      </c>
      <c r="AA483" s="22" t="str">
        <f aca="false">IF(OR($L483&lt;&gt;"Planned",N($U483)&lt;=0),"",$Y483/$U483)</f>
        <v/>
      </c>
      <c r="AB483" s="8" t="str">
        <f aca="false">IF($L483&lt;&gt;"Planned","",IF($Y483&lt;=$T483,ROUNDUP(MAX($U483-$Y483,N($E483))/IF(N($F483)&gt;0,$F483,1)-0.000000001,0)*IF(N($F483)&gt;0,$F483,1),""))</f>
        <v/>
      </c>
      <c r="AC483" s="23" t="str">
        <f aca="false">IF(N($AB483)&gt;0,PlanDate+ROUNDUP($D483,0),"")</f>
        <v/>
      </c>
      <c r="AD483" s="19" t="str">
        <f aca="false">IF($L483&lt;&gt;"Planned","",IF(N($H483)&lt;=0,"Stockout",IF(N($H483)&lt;$S483*0.5,"Critical",IF(N($H483)&lt;=$S483,"Low",IF(N($H483)&gt;$U483,"Over top of green","OK")))))</f>
        <v/>
      </c>
      <c r="AE483" s="8" t="str">
        <f aca="false">IF($A483="","",$A483&amp;"")</f>
        <v/>
      </c>
      <c r="AF483" s="8" t="str">
        <f aca="false">IF($A483="","",SUBSTITUTE(SUBSTITUTE(SUBSTITUTE($A483&amp;"","~","~~"),"*","~*"),"?","~?"))</f>
        <v/>
      </c>
    </row>
    <row r="484" customFormat="false" ht="15" hidden="false" customHeight="false" outlineLevel="0" collapsed="false">
      <c r="A484" s="11"/>
      <c r="B484" s="11"/>
      <c r="C484" s="11"/>
      <c r="D484" s="16"/>
      <c r="E484" s="11"/>
      <c r="F484" s="11"/>
      <c r="G484" s="9"/>
      <c r="H484" s="11"/>
      <c r="I484" s="17"/>
      <c r="J484" s="18" t="str">
        <f aca="false">IF($A484="","",IF(COUNT(Usage!$C:$C)=0,"",MAX(0,SUMIFS(Usage!$C:$C,Usage!$A:$A,$AF484,Usage!$B:$B,"&gt;="&amp;(PlanDate-AduWindow),Usage!$B:$B,"&lt;"&amp;PlanDate))/AduWindow))</f>
        <v/>
      </c>
      <c r="K484" s="18" t="str">
        <f aca="false">IF($A484="","",IF(AND(ISNUMBER($I484),N($I484)&gt;=0),$I484,$J484))</f>
        <v/>
      </c>
      <c r="L484" s="19" t="str">
        <f aca="false">IF($A484="","",IF($K484="","Needs ADU",IF($K484&lt;=0,"No recent demand",IF(N($D484)&lt;=0,"Needs lead time","Planned"))))</f>
        <v/>
      </c>
      <c r="M484" s="8" t="str">
        <f aca="false">IF($A484="","",IF(ISNUMBER(MATCH($C484,Profiles!$A$2:$A$100,0)),$C484,DefaultProfile))</f>
        <v/>
      </c>
      <c r="N484" s="20" t="str">
        <f aca="false">IF($A484="","",INDEX(Profiles!$D$2:$D$100,MATCH($M484,Profiles!$A$2:$A$100,0)))</f>
        <v/>
      </c>
      <c r="O484" s="20" t="str">
        <f aca="false">IF($A484="","",INDEX(Profiles!$E$2:$E$100,MATCH($M484,Profiles!$A$2:$A$100,0)))</f>
        <v/>
      </c>
      <c r="P484" s="21" t="str">
        <f aca="false">IF($L484&lt;&gt;"Planned","",$K484*$D484*$N484*(1+$O484))</f>
        <v/>
      </c>
      <c r="Q484" s="21" t="str">
        <f aca="false">IF($L484&lt;&gt;"Planned","",$K484*$D484)</f>
        <v/>
      </c>
      <c r="R484" s="21" t="str">
        <f aca="false">IF($L484&lt;&gt;"Planned","",MAX(N($E484),$K484*$D484*$N484,$K484*N($G484)))</f>
        <v/>
      </c>
      <c r="S484" s="21" t="str">
        <f aca="false">IF($L484&lt;&gt;"Planned","",$P484)</f>
        <v/>
      </c>
      <c r="T484" s="21" t="str">
        <f aca="false">IF($L484&lt;&gt;"Planned","",$P484+$Q484)</f>
        <v/>
      </c>
      <c r="U484" s="21" t="str">
        <f aca="false">IF($L484&lt;&gt;"Planned","",$T484+$R484)</f>
        <v/>
      </c>
      <c r="V484" s="8" t="str">
        <f aca="false">IF($A484="","",SUMIFS('Open supply'!$C:$C,'Open supply'!$A:$A,$AF484))</f>
        <v/>
      </c>
      <c r="W484" s="8" t="str">
        <f aca="false">IF($A484="","",SUMIFS('Open supply'!$C:$C,'Open supply'!$A:$A,$AF484,'Open supply'!$B:$B,"&lt;"&amp;PlanDate))</f>
        <v/>
      </c>
      <c r="X484" s="8" t="str">
        <f aca="false">IF($A484="","",SUMIFS('Open demand'!$G:$G,'Open demand'!$A:$A,$AF484))</f>
        <v/>
      </c>
      <c r="Y484" s="8" t="str">
        <f aca="false">IF($L484&lt;&gt;"Planned","",N($H484)+$V484-$X484)</f>
        <v/>
      </c>
      <c r="Z484" s="19" t="str">
        <f aca="false">IF($L484&lt;&gt;"Planned","",IF($Y484&lt;=$S484,"Red",IF($Y484&lt;=$T484,"Yellow",IF($Y484&lt;=$U484,"Green","Above green"))))</f>
        <v/>
      </c>
      <c r="AA484" s="22" t="str">
        <f aca="false">IF(OR($L484&lt;&gt;"Planned",N($U484)&lt;=0),"",$Y484/$U484)</f>
        <v/>
      </c>
      <c r="AB484" s="8" t="str">
        <f aca="false">IF($L484&lt;&gt;"Planned","",IF($Y484&lt;=$T484,ROUNDUP(MAX($U484-$Y484,N($E484))/IF(N($F484)&gt;0,$F484,1)-0.000000001,0)*IF(N($F484)&gt;0,$F484,1),""))</f>
        <v/>
      </c>
      <c r="AC484" s="23" t="str">
        <f aca="false">IF(N($AB484)&gt;0,PlanDate+ROUNDUP($D484,0),"")</f>
        <v/>
      </c>
      <c r="AD484" s="19" t="str">
        <f aca="false">IF($L484&lt;&gt;"Planned","",IF(N($H484)&lt;=0,"Stockout",IF(N($H484)&lt;$S484*0.5,"Critical",IF(N($H484)&lt;=$S484,"Low",IF(N($H484)&gt;$U484,"Over top of green","OK")))))</f>
        <v/>
      </c>
      <c r="AE484" s="8" t="str">
        <f aca="false">IF($A484="","",$A484&amp;"")</f>
        <v/>
      </c>
      <c r="AF484" s="8" t="str">
        <f aca="false">IF($A484="","",SUBSTITUTE(SUBSTITUTE(SUBSTITUTE($A484&amp;"","~","~~"),"*","~*"),"?","~?"))</f>
        <v/>
      </c>
    </row>
    <row r="485" customFormat="false" ht="15" hidden="false" customHeight="false" outlineLevel="0" collapsed="false">
      <c r="A485" s="11"/>
      <c r="B485" s="11"/>
      <c r="C485" s="11"/>
      <c r="D485" s="16"/>
      <c r="E485" s="11"/>
      <c r="F485" s="11"/>
      <c r="G485" s="9"/>
      <c r="H485" s="11"/>
      <c r="I485" s="17"/>
      <c r="J485" s="18" t="str">
        <f aca="false">IF($A485="","",IF(COUNT(Usage!$C:$C)=0,"",MAX(0,SUMIFS(Usage!$C:$C,Usage!$A:$A,$AF485,Usage!$B:$B,"&gt;="&amp;(PlanDate-AduWindow),Usage!$B:$B,"&lt;"&amp;PlanDate))/AduWindow))</f>
        <v/>
      </c>
      <c r="K485" s="18" t="str">
        <f aca="false">IF($A485="","",IF(AND(ISNUMBER($I485),N($I485)&gt;=0),$I485,$J485))</f>
        <v/>
      </c>
      <c r="L485" s="19" t="str">
        <f aca="false">IF($A485="","",IF($K485="","Needs ADU",IF($K485&lt;=0,"No recent demand",IF(N($D485)&lt;=0,"Needs lead time","Planned"))))</f>
        <v/>
      </c>
      <c r="M485" s="8" t="str">
        <f aca="false">IF($A485="","",IF(ISNUMBER(MATCH($C485,Profiles!$A$2:$A$100,0)),$C485,DefaultProfile))</f>
        <v/>
      </c>
      <c r="N485" s="20" t="str">
        <f aca="false">IF($A485="","",INDEX(Profiles!$D$2:$D$100,MATCH($M485,Profiles!$A$2:$A$100,0)))</f>
        <v/>
      </c>
      <c r="O485" s="20" t="str">
        <f aca="false">IF($A485="","",INDEX(Profiles!$E$2:$E$100,MATCH($M485,Profiles!$A$2:$A$100,0)))</f>
        <v/>
      </c>
      <c r="P485" s="21" t="str">
        <f aca="false">IF($L485&lt;&gt;"Planned","",$K485*$D485*$N485*(1+$O485))</f>
        <v/>
      </c>
      <c r="Q485" s="21" t="str">
        <f aca="false">IF($L485&lt;&gt;"Planned","",$K485*$D485)</f>
        <v/>
      </c>
      <c r="R485" s="21" t="str">
        <f aca="false">IF($L485&lt;&gt;"Planned","",MAX(N($E485),$K485*$D485*$N485,$K485*N($G485)))</f>
        <v/>
      </c>
      <c r="S485" s="21" t="str">
        <f aca="false">IF($L485&lt;&gt;"Planned","",$P485)</f>
        <v/>
      </c>
      <c r="T485" s="21" t="str">
        <f aca="false">IF($L485&lt;&gt;"Planned","",$P485+$Q485)</f>
        <v/>
      </c>
      <c r="U485" s="21" t="str">
        <f aca="false">IF($L485&lt;&gt;"Planned","",$T485+$R485)</f>
        <v/>
      </c>
      <c r="V485" s="8" t="str">
        <f aca="false">IF($A485="","",SUMIFS('Open supply'!$C:$C,'Open supply'!$A:$A,$AF485))</f>
        <v/>
      </c>
      <c r="W485" s="8" t="str">
        <f aca="false">IF($A485="","",SUMIFS('Open supply'!$C:$C,'Open supply'!$A:$A,$AF485,'Open supply'!$B:$B,"&lt;"&amp;PlanDate))</f>
        <v/>
      </c>
      <c r="X485" s="8" t="str">
        <f aca="false">IF($A485="","",SUMIFS('Open demand'!$G:$G,'Open demand'!$A:$A,$AF485))</f>
        <v/>
      </c>
      <c r="Y485" s="8" t="str">
        <f aca="false">IF($L485&lt;&gt;"Planned","",N($H485)+$V485-$X485)</f>
        <v/>
      </c>
      <c r="Z485" s="19" t="str">
        <f aca="false">IF($L485&lt;&gt;"Planned","",IF($Y485&lt;=$S485,"Red",IF($Y485&lt;=$T485,"Yellow",IF($Y485&lt;=$U485,"Green","Above green"))))</f>
        <v/>
      </c>
      <c r="AA485" s="22" t="str">
        <f aca="false">IF(OR($L485&lt;&gt;"Planned",N($U485)&lt;=0),"",$Y485/$U485)</f>
        <v/>
      </c>
      <c r="AB485" s="8" t="str">
        <f aca="false">IF($L485&lt;&gt;"Planned","",IF($Y485&lt;=$T485,ROUNDUP(MAX($U485-$Y485,N($E485))/IF(N($F485)&gt;0,$F485,1)-0.000000001,0)*IF(N($F485)&gt;0,$F485,1),""))</f>
        <v/>
      </c>
      <c r="AC485" s="23" t="str">
        <f aca="false">IF(N($AB485)&gt;0,PlanDate+ROUNDUP($D485,0),"")</f>
        <v/>
      </c>
      <c r="AD485" s="19" t="str">
        <f aca="false">IF($L485&lt;&gt;"Planned","",IF(N($H485)&lt;=0,"Stockout",IF(N($H485)&lt;$S485*0.5,"Critical",IF(N($H485)&lt;=$S485,"Low",IF(N($H485)&gt;$U485,"Over top of green","OK")))))</f>
        <v/>
      </c>
      <c r="AE485" s="8" t="str">
        <f aca="false">IF($A485="","",$A485&amp;"")</f>
        <v/>
      </c>
      <c r="AF485" s="8" t="str">
        <f aca="false">IF($A485="","",SUBSTITUTE(SUBSTITUTE(SUBSTITUTE($A485&amp;"","~","~~"),"*","~*"),"?","~?"))</f>
        <v/>
      </c>
    </row>
    <row r="486" customFormat="false" ht="15" hidden="false" customHeight="false" outlineLevel="0" collapsed="false">
      <c r="A486" s="11"/>
      <c r="B486" s="11"/>
      <c r="C486" s="11"/>
      <c r="D486" s="16"/>
      <c r="E486" s="11"/>
      <c r="F486" s="11"/>
      <c r="G486" s="9"/>
      <c r="H486" s="11"/>
      <c r="I486" s="17"/>
      <c r="J486" s="18" t="str">
        <f aca="false">IF($A486="","",IF(COUNT(Usage!$C:$C)=0,"",MAX(0,SUMIFS(Usage!$C:$C,Usage!$A:$A,$AF486,Usage!$B:$B,"&gt;="&amp;(PlanDate-AduWindow),Usage!$B:$B,"&lt;"&amp;PlanDate))/AduWindow))</f>
        <v/>
      </c>
      <c r="K486" s="18" t="str">
        <f aca="false">IF($A486="","",IF(AND(ISNUMBER($I486),N($I486)&gt;=0),$I486,$J486))</f>
        <v/>
      </c>
      <c r="L486" s="19" t="str">
        <f aca="false">IF($A486="","",IF($K486="","Needs ADU",IF($K486&lt;=0,"No recent demand",IF(N($D486)&lt;=0,"Needs lead time","Planned"))))</f>
        <v/>
      </c>
      <c r="M486" s="8" t="str">
        <f aca="false">IF($A486="","",IF(ISNUMBER(MATCH($C486,Profiles!$A$2:$A$100,0)),$C486,DefaultProfile))</f>
        <v/>
      </c>
      <c r="N486" s="20" t="str">
        <f aca="false">IF($A486="","",INDEX(Profiles!$D$2:$D$100,MATCH($M486,Profiles!$A$2:$A$100,0)))</f>
        <v/>
      </c>
      <c r="O486" s="20" t="str">
        <f aca="false">IF($A486="","",INDEX(Profiles!$E$2:$E$100,MATCH($M486,Profiles!$A$2:$A$100,0)))</f>
        <v/>
      </c>
      <c r="P486" s="21" t="str">
        <f aca="false">IF($L486&lt;&gt;"Planned","",$K486*$D486*$N486*(1+$O486))</f>
        <v/>
      </c>
      <c r="Q486" s="21" t="str">
        <f aca="false">IF($L486&lt;&gt;"Planned","",$K486*$D486)</f>
        <v/>
      </c>
      <c r="R486" s="21" t="str">
        <f aca="false">IF($L486&lt;&gt;"Planned","",MAX(N($E486),$K486*$D486*$N486,$K486*N($G486)))</f>
        <v/>
      </c>
      <c r="S486" s="21" t="str">
        <f aca="false">IF($L486&lt;&gt;"Planned","",$P486)</f>
        <v/>
      </c>
      <c r="T486" s="21" t="str">
        <f aca="false">IF($L486&lt;&gt;"Planned","",$P486+$Q486)</f>
        <v/>
      </c>
      <c r="U486" s="21" t="str">
        <f aca="false">IF($L486&lt;&gt;"Planned","",$T486+$R486)</f>
        <v/>
      </c>
      <c r="V486" s="8" t="str">
        <f aca="false">IF($A486="","",SUMIFS('Open supply'!$C:$C,'Open supply'!$A:$A,$AF486))</f>
        <v/>
      </c>
      <c r="W486" s="8" t="str">
        <f aca="false">IF($A486="","",SUMIFS('Open supply'!$C:$C,'Open supply'!$A:$A,$AF486,'Open supply'!$B:$B,"&lt;"&amp;PlanDate))</f>
        <v/>
      </c>
      <c r="X486" s="8" t="str">
        <f aca="false">IF($A486="","",SUMIFS('Open demand'!$G:$G,'Open demand'!$A:$A,$AF486))</f>
        <v/>
      </c>
      <c r="Y486" s="8" t="str">
        <f aca="false">IF($L486&lt;&gt;"Planned","",N($H486)+$V486-$X486)</f>
        <v/>
      </c>
      <c r="Z486" s="19" t="str">
        <f aca="false">IF($L486&lt;&gt;"Planned","",IF($Y486&lt;=$S486,"Red",IF($Y486&lt;=$T486,"Yellow",IF($Y486&lt;=$U486,"Green","Above green"))))</f>
        <v/>
      </c>
      <c r="AA486" s="22" t="str">
        <f aca="false">IF(OR($L486&lt;&gt;"Planned",N($U486)&lt;=0),"",$Y486/$U486)</f>
        <v/>
      </c>
      <c r="AB486" s="8" t="str">
        <f aca="false">IF($L486&lt;&gt;"Planned","",IF($Y486&lt;=$T486,ROUNDUP(MAX($U486-$Y486,N($E486))/IF(N($F486)&gt;0,$F486,1)-0.000000001,0)*IF(N($F486)&gt;0,$F486,1),""))</f>
        <v/>
      </c>
      <c r="AC486" s="23" t="str">
        <f aca="false">IF(N($AB486)&gt;0,PlanDate+ROUNDUP($D486,0),"")</f>
        <v/>
      </c>
      <c r="AD486" s="19" t="str">
        <f aca="false">IF($L486&lt;&gt;"Planned","",IF(N($H486)&lt;=0,"Stockout",IF(N($H486)&lt;$S486*0.5,"Critical",IF(N($H486)&lt;=$S486,"Low",IF(N($H486)&gt;$U486,"Over top of green","OK")))))</f>
        <v/>
      </c>
      <c r="AE486" s="8" t="str">
        <f aca="false">IF($A486="","",$A486&amp;"")</f>
        <v/>
      </c>
      <c r="AF486" s="8" t="str">
        <f aca="false">IF($A486="","",SUBSTITUTE(SUBSTITUTE(SUBSTITUTE($A486&amp;"","~","~~"),"*","~*"),"?","~?"))</f>
        <v/>
      </c>
    </row>
    <row r="487" customFormat="false" ht="15" hidden="false" customHeight="false" outlineLevel="0" collapsed="false">
      <c r="A487" s="11"/>
      <c r="B487" s="11"/>
      <c r="C487" s="11"/>
      <c r="D487" s="16"/>
      <c r="E487" s="11"/>
      <c r="F487" s="11"/>
      <c r="G487" s="9"/>
      <c r="H487" s="11"/>
      <c r="I487" s="17"/>
      <c r="J487" s="18" t="str">
        <f aca="false">IF($A487="","",IF(COUNT(Usage!$C:$C)=0,"",MAX(0,SUMIFS(Usage!$C:$C,Usage!$A:$A,$AF487,Usage!$B:$B,"&gt;="&amp;(PlanDate-AduWindow),Usage!$B:$B,"&lt;"&amp;PlanDate))/AduWindow))</f>
        <v/>
      </c>
      <c r="K487" s="18" t="str">
        <f aca="false">IF($A487="","",IF(AND(ISNUMBER($I487),N($I487)&gt;=0),$I487,$J487))</f>
        <v/>
      </c>
      <c r="L487" s="19" t="str">
        <f aca="false">IF($A487="","",IF($K487="","Needs ADU",IF($K487&lt;=0,"No recent demand",IF(N($D487)&lt;=0,"Needs lead time","Planned"))))</f>
        <v/>
      </c>
      <c r="M487" s="8" t="str">
        <f aca="false">IF($A487="","",IF(ISNUMBER(MATCH($C487,Profiles!$A$2:$A$100,0)),$C487,DefaultProfile))</f>
        <v/>
      </c>
      <c r="N487" s="20" t="str">
        <f aca="false">IF($A487="","",INDEX(Profiles!$D$2:$D$100,MATCH($M487,Profiles!$A$2:$A$100,0)))</f>
        <v/>
      </c>
      <c r="O487" s="20" t="str">
        <f aca="false">IF($A487="","",INDEX(Profiles!$E$2:$E$100,MATCH($M487,Profiles!$A$2:$A$100,0)))</f>
        <v/>
      </c>
      <c r="P487" s="21" t="str">
        <f aca="false">IF($L487&lt;&gt;"Planned","",$K487*$D487*$N487*(1+$O487))</f>
        <v/>
      </c>
      <c r="Q487" s="21" t="str">
        <f aca="false">IF($L487&lt;&gt;"Planned","",$K487*$D487)</f>
        <v/>
      </c>
      <c r="R487" s="21" t="str">
        <f aca="false">IF($L487&lt;&gt;"Planned","",MAX(N($E487),$K487*$D487*$N487,$K487*N($G487)))</f>
        <v/>
      </c>
      <c r="S487" s="21" t="str">
        <f aca="false">IF($L487&lt;&gt;"Planned","",$P487)</f>
        <v/>
      </c>
      <c r="T487" s="21" t="str">
        <f aca="false">IF($L487&lt;&gt;"Planned","",$P487+$Q487)</f>
        <v/>
      </c>
      <c r="U487" s="21" t="str">
        <f aca="false">IF($L487&lt;&gt;"Planned","",$T487+$R487)</f>
        <v/>
      </c>
      <c r="V487" s="8" t="str">
        <f aca="false">IF($A487="","",SUMIFS('Open supply'!$C:$C,'Open supply'!$A:$A,$AF487))</f>
        <v/>
      </c>
      <c r="W487" s="8" t="str">
        <f aca="false">IF($A487="","",SUMIFS('Open supply'!$C:$C,'Open supply'!$A:$A,$AF487,'Open supply'!$B:$B,"&lt;"&amp;PlanDate))</f>
        <v/>
      </c>
      <c r="X487" s="8" t="str">
        <f aca="false">IF($A487="","",SUMIFS('Open demand'!$G:$G,'Open demand'!$A:$A,$AF487))</f>
        <v/>
      </c>
      <c r="Y487" s="8" t="str">
        <f aca="false">IF($L487&lt;&gt;"Planned","",N($H487)+$V487-$X487)</f>
        <v/>
      </c>
      <c r="Z487" s="19" t="str">
        <f aca="false">IF($L487&lt;&gt;"Planned","",IF($Y487&lt;=$S487,"Red",IF($Y487&lt;=$T487,"Yellow",IF($Y487&lt;=$U487,"Green","Above green"))))</f>
        <v/>
      </c>
      <c r="AA487" s="22" t="str">
        <f aca="false">IF(OR($L487&lt;&gt;"Planned",N($U487)&lt;=0),"",$Y487/$U487)</f>
        <v/>
      </c>
      <c r="AB487" s="8" t="str">
        <f aca="false">IF($L487&lt;&gt;"Planned","",IF($Y487&lt;=$T487,ROUNDUP(MAX($U487-$Y487,N($E487))/IF(N($F487)&gt;0,$F487,1)-0.000000001,0)*IF(N($F487)&gt;0,$F487,1),""))</f>
        <v/>
      </c>
      <c r="AC487" s="23" t="str">
        <f aca="false">IF(N($AB487)&gt;0,PlanDate+ROUNDUP($D487,0),"")</f>
        <v/>
      </c>
      <c r="AD487" s="19" t="str">
        <f aca="false">IF($L487&lt;&gt;"Planned","",IF(N($H487)&lt;=0,"Stockout",IF(N($H487)&lt;$S487*0.5,"Critical",IF(N($H487)&lt;=$S487,"Low",IF(N($H487)&gt;$U487,"Over top of green","OK")))))</f>
        <v/>
      </c>
      <c r="AE487" s="8" t="str">
        <f aca="false">IF($A487="","",$A487&amp;"")</f>
        <v/>
      </c>
      <c r="AF487" s="8" t="str">
        <f aca="false">IF($A487="","",SUBSTITUTE(SUBSTITUTE(SUBSTITUTE($A487&amp;"","~","~~"),"*","~*"),"?","~?"))</f>
        <v/>
      </c>
    </row>
    <row r="488" customFormat="false" ht="15" hidden="false" customHeight="false" outlineLevel="0" collapsed="false">
      <c r="A488" s="11"/>
      <c r="B488" s="11"/>
      <c r="C488" s="11"/>
      <c r="D488" s="16"/>
      <c r="E488" s="11"/>
      <c r="F488" s="11"/>
      <c r="G488" s="9"/>
      <c r="H488" s="11"/>
      <c r="I488" s="17"/>
      <c r="J488" s="18" t="str">
        <f aca="false">IF($A488="","",IF(COUNT(Usage!$C:$C)=0,"",MAX(0,SUMIFS(Usage!$C:$C,Usage!$A:$A,$AF488,Usage!$B:$B,"&gt;="&amp;(PlanDate-AduWindow),Usage!$B:$B,"&lt;"&amp;PlanDate))/AduWindow))</f>
        <v/>
      </c>
      <c r="K488" s="18" t="str">
        <f aca="false">IF($A488="","",IF(AND(ISNUMBER($I488),N($I488)&gt;=0),$I488,$J488))</f>
        <v/>
      </c>
      <c r="L488" s="19" t="str">
        <f aca="false">IF($A488="","",IF($K488="","Needs ADU",IF($K488&lt;=0,"No recent demand",IF(N($D488)&lt;=0,"Needs lead time","Planned"))))</f>
        <v/>
      </c>
      <c r="M488" s="8" t="str">
        <f aca="false">IF($A488="","",IF(ISNUMBER(MATCH($C488,Profiles!$A$2:$A$100,0)),$C488,DefaultProfile))</f>
        <v/>
      </c>
      <c r="N488" s="20" t="str">
        <f aca="false">IF($A488="","",INDEX(Profiles!$D$2:$D$100,MATCH($M488,Profiles!$A$2:$A$100,0)))</f>
        <v/>
      </c>
      <c r="O488" s="20" t="str">
        <f aca="false">IF($A488="","",INDEX(Profiles!$E$2:$E$100,MATCH($M488,Profiles!$A$2:$A$100,0)))</f>
        <v/>
      </c>
      <c r="P488" s="21" t="str">
        <f aca="false">IF($L488&lt;&gt;"Planned","",$K488*$D488*$N488*(1+$O488))</f>
        <v/>
      </c>
      <c r="Q488" s="21" t="str">
        <f aca="false">IF($L488&lt;&gt;"Planned","",$K488*$D488)</f>
        <v/>
      </c>
      <c r="R488" s="21" t="str">
        <f aca="false">IF($L488&lt;&gt;"Planned","",MAX(N($E488),$K488*$D488*$N488,$K488*N($G488)))</f>
        <v/>
      </c>
      <c r="S488" s="21" t="str">
        <f aca="false">IF($L488&lt;&gt;"Planned","",$P488)</f>
        <v/>
      </c>
      <c r="T488" s="21" t="str">
        <f aca="false">IF($L488&lt;&gt;"Planned","",$P488+$Q488)</f>
        <v/>
      </c>
      <c r="U488" s="21" t="str">
        <f aca="false">IF($L488&lt;&gt;"Planned","",$T488+$R488)</f>
        <v/>
      </c>
      <c r="V488" s="8" t="str">
        <f aca="false">IF($A488="","",SUMIFS('Open supply'!$C:$C,'Open supply'!$A:$A,$AF488))</f>
        <v/>
      </c>
      <c r="W488" s="8" t="str">
        <f aca="false">IF($A488="","",SUMIFS('Open supply'!$C:$C,'Open supply'!$A:$A,$AF488,'Open supply'!$B:$B,"&lt;"&amp;PlanDate))</f>
        <v/>
      </c>
      <c r="X488" s="8" t="str">
        <f aca="false">IF($A488="","",SUMIFS('Open demand'!$G:$G,'Open demand'!$A:$A,$AF488))</f>
        <v/>
      </c>
      <c r="Y488" s="8" t="str">
        <f aca="false">IF($L488&lt;&gt;"Planned","",N($H488)+$V488-$X488)</f>
        <v/>
      </c>
      <c r="Z488" s="19" t="str">
        <f aca="false">IF($L488&lt;&gt;"Planned","",IF($Y488&lt;=$S488,"Red",IF($Y488&lt;=$T488,"Yellow",IF($Y488&lt;=$U488,"Green","Above green"))))</f>
        <v/>
      </c>
      <c r="AA488" s="22" t="str">
        <f aca="false">IF(OR($L488&lt;&gt;"Planned",N($U488)&lt;=0),"",$Y488/$U488)</f>
        <v/>
      </c>
      <c r="AB488" s="8" t="str">
        <f aca="false">IF($L488&lt;&gt;"Planned","",IF($Y488&lt;=$T488,ROUNDUP(MAX($U488-$Y488,N($E488))/IF(N($F488)&gt;0,$F488,1)-0.000000001,0)*IF(N($F488)&gt;0,$F488,1),""))</f>
        <v/>
      </c>
      <c r="AC488" s="23" t="str">
        <f aca="false">IF(N($AB488)&gt;0,PlanDate+ROUNDUP($D488,0),"")</f>
        <v/>
      </c>
      <c r="AD488" s="19" t="str">
        <f aca="false">IF($L488&lt;&gt;"Planned","",IF(N($H488)&lt;=0,"Stockout",IF(N($H488)&lt;$S488*0.5,"Critical",IF(N($H488)&lt;=$S488,"Low",IF(N($H488)&gt;$U488,"Over top of green","OK")))))</f>
        <v/>
      </c>
      <c r="AE488" s="8" t="str">
        <f aca="false">IF($A488="","",$A488&amp;"")</f>
        <v/>
      </c>
      <c r="AF488" s="8" t="str">
        <f aca="false">IF($A488="","",SUBSTITUTE(SUBSTITUTE(SUBSTITUTE($A488&amp;"","~","~~"),"*","~*"),"?","~?"))</f>
        <v/>
      </c>
    </row>
    <row r="489" customFormat="false" ht="15" hidden="false" customHeight="false" outlineLevel="0" collapsed="false">
      <c r="A489" s="11"/>
      <c r="B489" s="11"/>
      <c r="C489" s="11"/>
      <c r="D489" s="16"/>
      <c r="E489" s="11"/>
      <c r="F489" s="11"/>
      <c r="G489" s="9"/>
      <c r="H489" s="11"/>
      <c r="I489" s="17"/>
      <c r="J489" s="18" t="str">
        <f aca="false">IF($A489="","",IF(COUNT(Usage!$C:$C)=0,"",MAX(0,SUMIFS(Usage!$C:$C,Usage!$A:$A,$AF489,Usage!$B:$B,"&gt;="&amp;(PlanDate-AduWindow),Usage!$B:$B,"&lt;"&amp;PlanDate))/AduWindow))</f>
        <v/>
      </c>
      <c r="K489" s="18" t="str">
        <f aca="false">IF($A489="","",IF(AND(ISNUMBER($I489),N($I489)&gt;=0),$I489,$J489))</f>
        <v/>
      </c>
      <c r="L489" s="19" t="str">
        <f aca="false">IF($A489="","",IF($K489="","Needs ADU",IF($K489&lt;=0,"No recent demand",IF(N($D489)&lt;=0,"Needs lead time","Planned"))))</f>
        <v/>
      </c>
      <c r="M489" s="8" t="str">
        <f aca="false">IF($A489="","",IF(ISNUMBER(MATCH($C489,Profiles!$A$2:$A$100,0)),$C489,DefaultProfile))</f>
        <v/>
      </c>
      <c r="N489" s="20" t="str">
        <f aca="false">IF($A489="","",INDEX(Profiles!$D$2:$D$100,MATCH($M489,Profiles!$A$2:$A$100,0)))</f>
        <v/>
      </c>
      <c r="O489" s="20" t="str">
        <f aca="false">IF($A489="","",INDEX(Profiles!$E$2:$E$100,MATCH($M489,Profiles!$A$2:$A$100,0)))</f>
        <v/>
      </c>
      <c r="P489" s="21" t="str">
        <f aca="false">IF($L489&lt;&gt;"Planned","",$K489*$D489*$N489*(1+$O489))</f>
        <v/>
      </c>
      <c r="Q489" s="21" t="str">
        <f aca="false">IF($L489&lt;&gt;"Planned","",$K489*$D489)</f>
        <v/>
      </c>
      <c r="R489" s="21" t="str">
        <f aca="false">IF($L489&lt;&gt;"Planned","",MAX(N($E489),$K489*$D489*$N489,$K489*N($G489)))</f>
        <v/>
      </c>
      <c r="S489" s="21" t="str">
        <f aca="false">IF($L489&lt;&gt;"Planned","",$P489)</f>
        <v/>
      </c>
      <c r="T489" s="21" t="str">
        <f aca="false">IF($L489&lt;&gt;"Planned","",$P489+$Q489)</f>
        <v/>
      </c>
      <c r="U489" s="21" t="str">
        <f aca="false">IF($L489&lt;&gt;"Planned","",$T489+$R489)</f>
        <v/>
      </c>
      <c r="V489" s="8" t="str">
        <f aca="false">IF($A489="","",SUMIFS('Open supply'!$C:$C,'Open supply'!$A:$A,$AF489))</f>
        <v/>
      </c>
      <c r="W489" s="8" t="str">
        <f aca="false">IF($A489="","",SUMIFS('Open supply'!$C:$C,'Open supply'!$A:$A,$AF489,'Open supply'!$B:$B,"&lt;"&amp;PlanDate))</f>
        <v/>
      </c>
      <c r="X489" s="8" t="str">
        <f aca="false">IF($A489="","",SUMIFS('Open demand'!$G:$G,'Open demand'!$A:$A,$AF489))</f>
        <v/>
      </c>
      <c r="Y489" s="8" t="str">
        <f aca="false">IF($L489&lt;&gt;"Planned","",N($H489)+$V489-$X489)</f>
        <v/>
      </c>
      <c r="Z489" s="19" t="str">
        <f aca="false">IF($L489&lt;&gt;"Planned","",IF($Y489&lt;=$S489,"Red",IF($Y489&lt;=$T489,"Yellow",IF($Y489&lt;=$U489,"Green","Above green"))))</f>
        <v/>
      </c>
      <c r="AA489" s="22" t="str">
        <f aca="false">IF(OR($L489&lt;&gt;"Planned",N($U489)&lt;=0),"",$Y489/$U489)</f>
        <v/>
      </c>
      <c r="AB489" s="8" t="str">
        <f aca="false">IF($L489&lt;&gt;"Planned","",IF($Y489&lt;=$T489,ROUNDUP(MAX($U489-$Y489,N($E489))/IF(N($F489)&gt;0,$F489,1)-0.000000001,0)*IF(N($F489)&gt;0,$F489,1),""))</f>
        <v/>
      </c>
      <c r="AC489" s="23" t="str">
        <f aca="false">IF(N($AB489)&gt;0,PlanDate+ROUNDUP($D489,0),"")</f>
        <v/>
      </c>
      <c r="AD489" s="19" t="str">
        <f aca="false">IF($L489&lt;&gt;"Planned","",IF(N($H489)&lt;=0,"Stockout",IF(N($H489)&lt;$S489*0.5,"Critical",IF(N($H489)&lt;=$S489,"Low",IF(N($H489)&gt;$U489,"Over top of green","OK")))))</f>
        <v/>
      </c>
      <c r="AE489" s="8" t="str">
        <f aca="false">IF($A489="","",$A489&amp;"")</f>
        <v/>
      </c>
      <c r="AF489" s="8" t="str">
        <f aca="false">IF($A489="","",SUBSTITUTE(SUBSTITUTE(SUBSTITUTE($A489&amp;"","~","~~"),"*","~*"),"?","~?"))</f>
        <v/>
      </c>
    </row>
    <row r="490" customFormat="false" ht="15" hidden="false" customHeight="false" outlineLevel="0" collapsed="false">
      <c r="A490" s="11"/>
      <c r="B490" s="11"/>
      <c r="C490" s="11"/>
      <c r="D490" s="16"/>
      <c r="E490" s="11"/>
      <c r="F490" s="11"/>
      <c r="G490" s="9"/>
      <c r="H490" s="11"/>
      <c r="I490" s="17"/>
      <c r="J490" s="18" t="str">
        <f aca="false">IF($A490="","",IF(COUNT(Usage!$C:$C)=0,"",MAX(0,SUMIFS(Usage!$C:$C,Usage!$A:$A,$AF490,Usage!$B:$B,"&gt;="&amp;(PlanDate-AduWindow),Usage!$B:$B,"&lt;"&amp;PlanDate))/AduWindow))</f>
        <v/>
      </c>
      <c r="K490" s="18" t="str">
        <f aca="false">IF($A490="","",IF(AND(ISNUMBER($I490),N($I490)&gt;=0),$I490,$J490))</f>
        <v/>
      </c>
      <c r="L490" s="19" t="str">
        <f aca="false">IF($A490="","",IF($K490="","Needs ADU",IF($K490&lt;=0,"No recent demand",IF(N($D490)&lt;=0,"Needs lead time","Planned"))))</f>
        <v/>
      </c>
      <c r="M490" s="8" t="str">
        <f aca="false">IF($A490="","",IF(ISNUMBER(MATCH($C490,Profiles!$A$2:$A$100,0)),$C490,DefaultProfile))</f>
        <v/>
      </c>
      <c r="N490" s="20" t="str">
        <f aca="false">IF($A490="","",INDEX(Profiles!$D$2:$D$100,MATCH($M490,Profiles!$A$2:$A$100,0)))</f>
        <v/>
      </c>
      <c r="O490" s="20" t="str">
        <f aca="false">IF($A490="","",INDEX(Profiles!$E$2:$E$100,MATCH($M490,Profiles!$A$2:$A$100,0)))</f>
        <v/>
      </c>
      <c r="P490" s="21" t="str">
        <f aca="false">IF($L490&lt;&gt;"Planned","",$K490*$D490*$N490*(1+$O490))</f>
        <v/>
      </c>
      <c r="Q490" s="21" t="str">
        <f aca="false">IF($L490&lt;&gt;"Planned","",$K490*$D490)</f>
        <v/>
      </c>
      <c r="R490" s="21" t="str">
        <f aca="false">IF($L490&lt;&gt;"Planned","",MAX(N($E490),$K490*$D490*$N490,$K490*N($G490)))</f>
        <v/>
      </c>
      <c r="S490" s="21" t="str">
        <f aca="false">IF($L490&lt;&gt;"Planned","",$P490)</f>
        <v/>
      </c>
      <c r="T490" s="21" t="str">
        <f aca="false">IF($L490&lt;&gt;"Planned","",$P490+$Q490)</f>
        <v/>
      </c>
      <c r="U490" s="21" t="str">
        <f aca="false">IF($L490&lt;&gt;"Planned","",$T490+$R490)</f>
        <v/>
      </c>
      <c r="V490" s="8" t="str">
        <f aca="false">IF($A490="","",SUMIFS('Open supply'!$C:$C,'Open supply'!$A:$A,$AF490))</f>
        <v/>
      </c>
      <c r="W490" s="8" t="str">
        <f aca="false">IF($A490="","",SUMIFS('Open supply'!$C:$C,'Open supply'!$A:$A,$AF490,'Open supply'!$B:$B,"&lt;"&amp;PlanDate))</f>
        <v/>
      </c>
      <c r="X490" s="8" t="str">
        <f aca="false">IF($A490="","",SUMIFS('Open demand'!$G:$G,'Open demand'!$A:$A,$AF490))</f>
        <v/>
      </c>
      <c r="Y490" s="8" t="str">
        <f aca="false">IF($L490&lt;&gt;"Planned","",N($H490)+$V490-$X490)</f>
        <v/>
      </c>
      <c r="Z490" s="19" t="str">
        <f aca="false">IF($L490&lt;&gt;"Planned","",IF($Y490&lt;=$S490,"Red",IF($Y490&lt;=$T490,"Yellow",IF($Y490&lt;=$U490,"Green","Above green"))))</f>
        <v/>
      </c>
      <c r="AA490" s="22" t="str">
        <f aca="false">IF(OR($L490&lt;&gt;"Planned",N($U490)&lt;=0),"",$Y490/$U490)</f>
        <v/>
      </c>
      <c r="AB490" s="8" t="str">
        <f aca="false">IF($L490&lt;&gt;"Planned","",IF($Y490&lt;=$T490,ROUNDUP(MAX($U490-$Y490,N($E490))/IF(N($F490)&gt;0,$F490,1)-0.000000001,0)*IF(N($F490)&gt;0,$F490,1),""))</f>
        <v/>
      </c>
      <c r="AC490" s="23" t="str">
        <f aca="false">IF(N($AB490)&gt;0,PlanDate+ROUNDUP($D490,0),"")</f>
        <v/>
      </c>
      <c r="AD490" s="19" t="str">
        <f aca="false">IF($L490&lt;&gt;"Planned","",IF(N($H490)&lt;=0,"Stockout",IF(N($H490)&lt;$S490*0.5,"Critical",IF(N($H490)&lt;=$S490,"Low",IF(N($H490)&gt;$U490,"Over top of green","OK")))))</f>
        <v/>
      </c>
      <c r="AE490" s="8" t="str">
        <f aca="false">IF($A490="","",$A490&amp;"")</f>
        <v/>
      </c>
      <c r="AF490" s="8" t="str">
        <f aca="false">IF($A490="","",SUBSTITUTE(SUBSTITUTE(SUBSTITUTE($A490&amp;"","~","~~"),"*","~*"),"?","~?"))</f>
        <v/>
      </c>
    </row>
    <row r="491" customFormat="false" ht="15" hidden="false" customHeight="false" outlineLevel="0" collapsed="false">
      <c r="A491" s="11"/>
      <c r="B491" s="11"/>
      <c r="C491" s="11"/>
      <c r="D491" s="16"/>
      <c r="E491" s="11"/>
      <c r="F491" s="11"/>
      <c r="G491" s="9"/>
      <c r="H491" s="11"/>
      <c r="I491" s="17"/>
      <c r="J491" s="18" t="str">
        <f aca="false">IF($A491="","",IF(COUNT(Usage!$C:$C)=0,"",MAX(0,SUMIFS(Usage!$C:$C,Usage!$A:$A,$AF491,Usage!$B:$B,"&gt;="&amp;(PlanDate-AduWindow),Usage!$B:$B,"&lt;"&amp;PlanDate))/AduWindow))</f>
        <v/>
      </c>
      <c r="K491" s="18" t="str">
        <f aca="false">IF($A491="","",IF(AND(ISNUMBER($I491),N($I491)&gt;=0),$I491,$J491))</f>
        <v/>
      </c>
      <c r="L491" s="19" t="str">
        <f aca="false">IF($A491="","",IF($K491="","Needs ADU",IF($K491&lt;=0,"No recent demand",IF(N($D491)&lt;=0,"Needs lead time","Planned"))))</f>
        <v/>
      </c>
      <c r="M491" s="8" t="str">
        <f aca="false">IF($A491="","",IF(ISNUMBER(MATCH($C491,Profiles!$A$2:$A$100,0)),$C491,DefaultProfile))</f>
        <v/>
      </c>
      <c r="N491" s="20" t="str">
        <f aca="false">IF($A491="","",INDEX(Profiles!$D$2:$D$100,MATCH($M491,Profiles!$A$2:$A$100,0)))</f>
        <v/>
      </c>
      <c r="O491" s="20" t="str">
        <f aca="false">IF($A491="","",INDEX(Profiles!$E$2:$E$100,MATCH($M491,Profiles!$A$2:$A$100,0)))</f>
        <v/>
      </c>
      <c r="P491" s="21" t="str">
        <f aca="false">IF($L491&lt;&gt;"Planned","",$K491*$D491*$N491*(1+$O491))</f>
        <v/>
      </c>
      <c r="Q491" s="21" t="str">
        <f aca="false">IF($L491&lt;&gt;"Planned","",$K491*$D491)</f>
        <v/>
      </c>
      <c r="R491" s="21" t="str">
        <f aca="false">IF($L491&lt;&gt;"Planned","",MAX(N($E491),$K491*$D491*$N491,$K491*N($G491)))</f>
        <v/>
      </c>
      <c r="S491" s="21" t="str">
        <f aca="false">IF($L491&lt;&gt;"Planned","",$P491)</f>
        <v/>
      </c>
      <c r="T491" s="21" t="str">
        <f aca="false">IF($L491&lt;&gt;"Planned","",$P491+$Q491)</f>
        <v/>
      </c>
      <c r="U491" s="21" t="str">
        <f aca="false">IF($L491&lt;&gt;"Planned","",$T491+$R491)</f>
        <v/>
      </c>
      <c r="V491" s="8" t="str">
        <f aca="false">IF($A491="","",SUMIFS('Open supply'!$C:$C,'Open supply'!$A:$A,$AF491))</f>
        <v/>
      </c>
      <c r="W491" s="8" t="str">
        <f aca="false">IF($A491="","",SUMIFS('Open supply'!$C:$C,'Open supply'!$A:$A,$AF491,'Open supply'!$B:$B,"&lt;"&amp;PlanDate))</f>
        <v/>
      </c>
      <c r="X491" s="8" t="str">
        <f aca="false">IF($A491="","",SUMIFS('Open demand'!$G:$G,'Open demand'!$A:$A,$AF491))</f>
        <v/>
      </c>
      <c r="Y491" s="8" t="str">
        <f aca="false">IF($L491&lt;&gt;"Planned","",N($H491)+$V491-$X491)</f>
        <v/>
      </c>
      <c r="Z491" s="19" t="str">
        <f aca="false">IF($L491&lt;&gt;"Planned","",IF($Y491&lt;=$S491,"Red",IF($Y491&lt;=$T491,"Yellow",IF($Y491&lt;=$U491,"Green","Above green"))))</f>
        <v/>
      </c>
      <c r="AA491" s="22" t="str">
        <f aca="false">IF(OR($L491&lt;&gt;"Planned",N($U491)&lt;=0),"",$Y491/$U491)</f>
        <v/>
      </c>
      <c r="AB491" s="8" t="str">
        <f aca="false">IF($L491&lt;&gt;"Planned","",IF($Y491&lt;=$T491,ROUNDUP(MAX($U491-$Y491,N($E491))/IF(N($F491)&gt;0,$F491,1)-0.000000001,0)*IF(N($F491)&gt;0,$F491,1),""))</f>
        <v/>
      </c>
      <c r="AC491" s="23" t="str">
        <f aca="false">IF(N($AB491)&gt;0,PlanDate+ROUNDUP($D491,0),"")</f>
        <v/>
      </c>
      <c r="AD491" s="19" t="str">
        <f aca="false">IF($L491&lt;&gt;"Planned","",IF(N($H491)&lt;=0,"Stockout",IF(N($H491)&lt;$S491*0.5,"Critical",IF(N($H491)&lt;=$S491,"Low",IF(N($H491)&gt;$U491,"Over top of green","OK")))))</f>
        <v/>
      </c>
      <c r="AE491" s="8" t="str">
        <f aca="false">IF($A491="","",$A491&amp;"")</f>
        <v/>
      </c>
      <c r="AF491" s="8" t="str">
        <f aca="false">IF($A491="","",SUBSTITUTE(SUBSTITUTE(SUBSTITUTE($A491&amp;"","~","~~"),"*","~*"),"?","~?"))</f>
        <v/>
      </c>
    </row>
    <row r="492" customFormat="false" ht="15" hidden="false" customHeight="false" outlineLevel="0" collapsed="false">
      <c r="A492" s="11"/>
      <c r="B492" s="11"/>
      <c r="C492" s="11"/>
      <c r="D492" s="16"/>
      <c r="E492" s="11"/>
      <c r="F492" s="11"/>
      <c r="G492" s="9"/>
      <c r="H492" s="11"/>
      <c r="I492" s="17"/>
      <c r="J492" s="18" t="str">
        <f aca="false">IF($A492="","",IF(COUNT(Usage!$C:$C)=0,"",MAX(0,SUMIFS(Usage!$C:$C,Usage!$A:$A,$AF492,Usage!$B:$B,"&gt;="&amp;(PlanDate-AduWindow),Usage!$B:$B,"&lt;"&amp;PlanDate))/AduWindow))</f>
        <v/>
      </c>
      <c r="K492" s="18" t="str">
        <f aca="false">IF($A492="","",IF(AND(ISNUMBER($I492),N($I492)&gt;=0),$I492,$J492))</f>
        <v/>
      </c>
      <c r="L492" s="19" t="str">
        <f aca="false">IF($A492="","",IF($K492="","Needs ADU",IF($K492&lt;=0,"No recent demand",IF(N($D492)&lt;=0,"Needs lead time","Planned"))))</f>
        <v/>
      </c>
      <c r="M492" s="8" t="str">
        <f aca="false">IF($A492="","",IF(ISNUMBER(MATCH($C492,Profiles!$A$2:$A$100,0)),$C492,DefaultProfile))</f>
        <v/>
      </c>
      <c r="N492" s="20" t="str">
        <f aca="false">IF($A492="","",INDEX(Profiles!$D$2:$D$100,MATCH($M492,Profiles!$A$2:$A$100,0)))</f>
        <v/>
      </c>
      <c r="O492" s="20" t="str">
        <f aca="false">IF($A492="","",INDEX(Profiles!$E$2:$E$100,MATCH($M492,Profiles!$A$2:$A$100,0)))</f>
        <v/>
      </c>
      <c r="P492" s="21" t="str">
        <f aca="false">IF($L492&lt;&gt;"Planned","",$K492*$D492*$N492*(1+$O492))</f>
        <v/>
      </c>
      <c r="Q492" s="21" t="str">
        <f aca="false">IF($L492&lt;&gt;"Planned","",$K492*$D492)</f>
        <v/>
      </c>
      <c r="R492" s="21" t="str">
        <f aca="false">IF($L492&lt;&gt;"Planned","",MAX(N($E492),$K492*$D492*$N492,$K492*N($G492)))</f>
        <v/>
      </c>
      <c r="S492" s="21" t="str">
        <f aca="false">IF($L492&lt;&gt;"Planned","",$P492)</f>
        <v/>
      </c>
      <c r="T492" s="21" t="str">
        <f aca="false">IF($L492&lt;&gt;"Planned","",$P492+$Q492)</f>
        <v/>
      </c>
      <c r="U492" s="21" t="str">
        <f aca="false">IF($L492&lt;&gt;"Planned","",$T492+$R492)</f>
        <v/>
      </c>
      <c r="V492" s="8" t="str">
        <f aca="false">IF($A492="","",SUMIFS('Open supply'!$C:$C,'Open supply'!$A:$A,$AF492))</f>
        <v/>
      </c>
      <c r="W492" s="8" t="str">
        <f aca="false">IF($A492="","",SUMIFS('Open supply'!$C:$C,'Open supply'!$A:$A,$AF492,'Open supply'!$B:$B,"&lt;"&amp;PlanDate))</f>
        <v/>
      </c>
      <c r="X492" s="8" t="str">
        <f aca="false">IF($A492="","",SUMIFS('Open demand'!$G:$G,'Open demand'!$A:$A,$AF492))</f>
        <v/>
      </c>
      <c r="Y492" s="8" t="str">
        <f aca="false">IF($L492&lt;&gt;"Planned","",N($H492)+$V492-$X492)</f>
        <v/>
      </c>
      <c r="Z492" s="19" t="str">
        <f aca="false">IF($L492&lt;&gt;"Planned","",IF($Y492&lt;=$S492,"Red",IF($Y492&lt;=$T492,"Yellow",IF($Y492&lt;=$U492,"Green","Above green"))))</f>
        <v/>
      </c>
      <c r="AA492" s="22" t="str">
        <f aca="false">IF(OR($L492&lt;&gt;"Planned",N($U492)&lt;=0),"",$Y492/$U492)</f>
        <v/>
      </c>
      <c r="AB492" s="8" t="str">
        <f aca="false">IF($L492&lt;&gt;"Planned","",IF($Y492&lt;=$T492,ROUNDUP(MAX($U492-$Y492,N($E492))/IF(N($F492)&gt;0,$F492,1)-0.000000001,0)*IF(N($F492)&gt;0,$F492,1),""))</f>
        <v/>
      </c>
      <c r="AC492" s="23" t="str">
        <f aca="false">IF(N($AB492)&gt;0,PlanDate+ROUNDUP($D492,0),"")</f>
        <v/>
      </c>
      <c r="AD492" s="19" t="str">
        <f aca="false">IF($L492&lt;&gt;"Planned","",IF(N($H492)&lt;=0,"Stockout",IF(N($H492)&lt;$S492*0.5,"Critical",IF(N($H492)&lt;=$S492,"Low",IF(N($H492)&gt;$U492,"Over top of green","OK")))))</f>
        <v/>
      </c>
      <c r="AE492" s="8" t="str">
        <f aca="false">IF($A492="","",$A492&amp;"")</f>
        <v/>
      </c>
      <c r="AF492" s="8" t="str">
        <f aca="false">IF($A492="","",SUBSTITUTE(SUBSTITUTE(SUBSTITUTE($A492&amp;"","~","~~"),"*","~*"),"?","~?"))</f>
        <v/>
      </c>
    </row>
    <row r="493" customFormat="false" ht="15" hidden="false" customHeight="false" outlineLevel="0" collapsed="false">
      <c r="A493" s="11"/>
      <c r="B493" s="11"/>
      <c r="C493" s="11"/>
      <c r="D493" s="16"/>
      <c r="E493" s="11"/>
      <c r="F493" s="11"/>
      <c r="G493" s="9"/>
      <c r="H493" s="11"/>
      <c r="I493" s="17"/>
      <c r="J493" s="18" t="str">
        <f aca="false">IF($A493="","",IF(COUNT(Usage!$C:$C)=0,"",MAX(0,SUMIFS(Usage!$C:$C,Usage!$A:$A,$AF493,Usage!$B:$B,"&gt;="&amp;(PlanDate-AduWindow),Usage!$B:$B,"&lt;"&amp;PlanDate))/AduWindow))</f>
        <v/>
      </c>
      <c r="K493" s="18" t="str">
        <f aca="false">IF($A493="","",IF(AND(ISNUMBER($I493),N($I493)&gt;=0),$I493,$J493))</f>
        <v/>
      </c>
      <c r="L493" s="19" t="str">
        <f aca="false">IF($A493="","",IF($K493="","Needs ADU",IF($K493&lt;=0,"No recent demand",IF(N($D493)&lt;=0,"Needs lead time","Planned"))))</f>
        <v/>
      </c>
      <c r="M493" s="8" t="str">
        <f aca="false">IF($A493="","",IF(ISNUMBER(MATCH($C493,Profiles!$A$2:$A$100,0)),$C493,DefaultProfile))</f>
        <v/>
      </c>
      <c r="N493" s="20" t="str">
        <f aca="false">IF($A493="","",INDEX(Profiles!$D$2:$D$100,MATCH($M493,Profiles!$A$2:$A$100,0)))</f>
        <v/>
      </c>
      <c r="O493" s="20" t="str">
        <f aca="false">IF($A493="","",INDEX(Profiles!$E$2:$E$100,MATCH($M493,Profiles!$A$2:$A$100,0)))</f>
        <v/>
      </c>
      <c r="P493" s="21" t="str">
        <f aca="false">IF($L493&lt;&gt;"Planned","",$K493*$D493*$N493*(1+$O493))</f>
        <v/>
      </c>
      <c r="Q493" s="21" t="str">
        <f aca="false">IF($L493&lt;&gt;"Planned","",$K493*$D493)</f>
        <v/>
      </c>
      <c r="R493" s="21" t="str">
        <f aca="false">IF($L493&lt;&gt;"Planned","",MAX(N($E493),$K493*$D493*$N493,$K493*N($G493)))</f>
        <v/>
      </c>
      <c r="S493" s="21" t="str">
        <f aca="false">IF($L493&lt;&gt;"Planned","",$P493)</f>
        <v/>
      </c>
      <c r="T493" s="21" t="str">
        <f aca="false">IF($L493&lt;&gt;"Planned","",$P493+$Q493)</f>
        <v/>
      </c>
      <c r="U493" s="21" t="str">
        <f aca="false">IF($L493&lt;&gt;"Planned","",$T493+$R493)</f>
        <v/>
      </c>
      <c r="V493" s="8" t="str">
        <f aca="false">IF($A493="","",SUMIFS('Open supply'!$C:$C,'Open supply'!$A:$A,$AF493))</f>
        <v/>
      </c>
      <c r="W493" s="8" t="str">
        <f aca="false">IF($A493="","",SUMIFS('Open supply'!$C:$C,'Open supply'!$A:$A,$AF493,'Open supply'!$B:$B,"&lt;"&amp;PlanDate))</f>
        <v/>
      </c>
      <c r="X493" s="8" t="str">
        <f aca="false">IF($A493="","",SUMIFS('Open demand'!$G:$G,'Open demand'!$A:$A,$AF493))</f>
        <v/>
      </c>
      <c r="Y493" s="8" t="str">
        <f aca="false">IF($L493&lt;&gt;"Planned","",N($H493)+$V493-$X493)</f>
        <v/>
      </c>
      <c r="Z493" s="19" t="str">
        <f aca="false">IF($L493&lt;&gt;"Planned","",IF($Y493&lt;=$S493,"Red",IF($Y493&lt;=$T493,"Yellow",IF($Y493&lt;=$U493,"Green","Above green"))))</f>
        <v/>
      </c>
      <c r="AA493" s="22" t="str">
        <f aca="false">IF(OR($L493&lt;&gt;"Planned",N($U493)&lt;=0),"",$Y493/$U493)</f>
        <v/>
      </c>
      <c r="AB493" s="8" t="str">
        <f aca="false">IF($L493&lt;&gt;"Planned","",IF($Y493&lt;=$T493,ROUNDUP(MAX($U493-$Y493,N($E493))/IF(N($F493)&gt;0,$F493,1)-0.000000001,0)*IF(N($F493)&gt;0,$F493,1),""))</f>
        <v/>
      </c>
      <c r="AC493" s="23" t="str">
        <f aca="false">IF(N($AB493)&gt;0,PlanDate+ROUNDUP($D493,0),"")</f>
        <v/>
      </c>
      <c r="AD493" s="19" t="str">
        <f aca="false">IF($L493&lt;&gt;"Planned","",IF(N($H493)&lt;=0,"Stockout",IF(N($H493)&lt;$S493*0.5,"Critical",IF(N($H493)&lt;=$S493,"Low",IF(N($H493)&gt;$U493,"Over top of green","OK")))))</f>
        <v/>
      </c>
      <c r="AE493" s="8" t="str">
        <f aca="false">IF($A493="","",$A493&amp;"")</f>
        <v/>
      </c>
      <c r="AF493" s="8" t="str">
        <f aca="false">IF($A493="","",SUBSTITUTE(SUBSTITUTE(SUBSTITUTE($A493&amp;"","~","~~"),"*","~*"),"?","~?"))</f>
        <v/>
      </c>
    </row>
    <row r="494" customFormat="false" ht="15" hidden="false" customHeight="false" outlineLevel="0" collapsed="false">
      <c r="A494" s="11"/>
      <c r="B494" s="11"/>
      <c r="C494" s="11"/>
      <c r="D494" s="16"/>
      <c r="E494" s="11"/>
      <c r="F494" s="11"/>
      <c r="G494" s="9"/>
      <c r="H494" s="11"/>
      <c r="I494" s="17"/>
      <c r="J494" s="18" t="str">
        <f aca="false">IF($A494="","",IF(COUNT(Usage!$C:$C)=0,"",MAX(0,SUMIFS(Usage!$C:$C,Usage!$A:$A,$AF494,Usage!$B:$B,"&gt;="&amp;(PlanDate-AduWindow),Usage!$B:$B,"&lt;"&amp;PlanDate))/AduWindow))</f>
        <v/>
      </c>
      <c r="K494" s="18" t="str">
        <f aca="false">IF($A494="","",IF(AND(ISNUMBER($I494),N($I494)&gt;=0),$I494,$J494))</f>
        <v/>
      </c>
      <c r="L494" s="19" t="str">
        <f aca="false">IF($A494="","",IF($K494="","Needs ADU",IF($K494&lt;=0,"No recent demand",IF(N($D494)&lt;=0,"Needs lead time","Planned"))))</f>
        <v/>
      </c>
      <c r="M494" s="8" t="str">
        <f aca="false">IF($A494="","",IF(ISNUMBER(MATCH($C494,Profiles!$A$2:$A$100,0)),$C494,DefaultProfile))</f>
        <v/>
      </c>
      <c r="N494" s="20" t="str">
        <f aca="false">IF($A494="","",INDEX(Profiles!$D$2:$D$100,MATCH($M494,Profiles!$A$2:$A$100,0)))</f>
        <v/>
      </c>
      <c r="O494" s="20" t="str">
        <f aca="false">IF($A494="","",INDEX(Profiles!$E$2:$E$100,MATCH($M494,Profiles!$A$2:$A$100,0)))</f>
        <v/>
      </c>
      <c r="P494" s="21" t="str">
        <f aca="false">IF($L494&lt;&gt;"Planned","",$K494*$D494*$N494*(1+$O494))</f>
        <v/>
      </c>
      <c r="Q494" s="21" t="str">
        <f aca="false">IF($L494&lt;&gt;"Planned","",$K494*$D494)</f>
        <v/>
      </c>
      <c r="R494" s="21" t="str">
        <f aca="false">IF($L494&lt;&gt;"Planned","",MAX(N($E494),$K494*$D494*$N494,$K494*N($G494)))</f>
        <v/>
      </c>
      <c r="S494" s="21" t="str">
        <f aca="false">IF($L494&lt;&gt;"Planned","",$P494)</f>
        <v/>
      </c>
      <c r="T494" s="21" t="str">
        <f aca="false">IF($L494&lt;&gt;"Planned","",$P494+$Q494)</f>
        <v/>
      </c>
      <c r="U494" s="21" t="str">
        <f aca="false">IF($L494&lt;&gt;"Planned","",$T494+$R494)</f>
        <v/>
      </c>
      <c r="V494" s="8" t="str">
        <f aca="false">IF($A494="","",SUMIFS('Open supply'!$C:$C,'Open supply'!$A:$A,$AF494))</f>
        <v/>
      </c>
      <c r="W494" s="8" t="str">
        <f aca="false">IF($A494="","",SUMIFS('Open supply'!$C:$C,'Open supply'!$A:$A,$AF494,'Open supply'!$B:$B,"&lt;"&amp;PlanDate))</f>
        <v/>
      </c>
      <c r="X494" s="8" t="str">
        <f aca="false">IF($A494="","",SUMIFS('Open demand'!$G:$G,'Open demand'!$A:$A,$AF494))</f>
        <v/>
      </c>
      <c r="Y494" s="8" t="str">
        <f aca="false">IF($L494&lt;&gt;"Planned","",N($H494)+$V494-$X494)</f>
        <v/>
      </c>
      <c r="Z494" s="19" t="str">
        <f aca="false">IF($L494&lt;&gt;"Planned","",IF($Y494&lt;=$S494,"Red",IF($Y494&lt;=$T494,"Yellow",IF($Y494&lt;=$U494,"Green","Above green"))))</f>
        <v/>
      </c>
      <c r="AA494" s="22" t="str">
        <f aca="false">IF(OR($L494&lt;&gt;"Planned",N($U494)&lt;=0),"",$Y494/$U494)</f>
        <v/>
      </c>
      <c r="AB494" s="8" t="str">
        <f aca="false">IF($L494&lt;&gt;"Planned","",IF($Y494&lt;=$T494,ROUNDUP(MAX($U494-$Y494,N($E494))/IF(N($F494)&gt;0,$F494,1)-0.000000001,0)*IF(N($F494)&gt;0,$F494,1),""))</f>
        <v/>
      </c>
      <c r="AC494" s="23" t="str">
        <f aca="false">IF(N($AB494)&gt;0,PlanDate+ROUNDUP($D494,0),"")</f>
        <v/>
      </c>
      <c r="AD494" s="19" t="str">
        <f aca="false">IF($L494&lt;&gt;"Planned","",IF(N($H494)&lt;=0,"Stockout",IF(N($H494)&lt;$S494*0.5,"Critical",IF(N($H494)&lt;=$S494,"Low",IF(N($H494)&gt;$U494,"Over top of green","OK")))))</f>
        <v/>
      </c>
      <c r="AE494" s="8" t="str">
        <f aca="false">IF($A494="","",$A494&amp;"")</f>
        <v/>
      </c>
      <c r="AF494" s="8" t="str">
        <f aca="false">IF($A494="","",SUBSTITUTE(SUBSTITUTE(SUBSTITUTE($A494&amp;"","~","~~"),"*","~*"),"?","~?"))</f>
        <v/>
      </c>
    </row>
    <row r="495" customFormat="false" ht="15" hidden="false" customHeight="false" outlineLevel="0" collapsed="false">
      <c r="A495" s="11"/>
      <c r="B495" s="11"/>
      <c r="C495" s="11"/>
      <c r="D495" s="16"/>
      <c r="E495" s="11"/>
      <c r="F495" s="11"/>
      <c r="G495" s="9"/>
      <c r="H495" s="11"/>
      <c r="I495" s="17"/>
      <c r="J495" s="18" t="str">
        <f aca="false">IF($A495="","",IF(COUNT(Usage!$C:$C)=0,"",MAX(0,SUMIFS(Usage!$C:$C,Usage!$A:$A,$AF495,Usage!$B:$B,"&gt;="&amp;(PlanDate-AduWindow),Usage!$B:$B,"&lt;"&amp;PlanDate))/AduWindow))</f>
        <v/>
      </c>
      <c r="K495" s="18" t="str">
        <f aca="false">IF($A495="","",IF(AND(ISNUMBER($I495),N($I495)&gt;=0),$I495,$J495))</f>
        <v/>
      </c>
      <c r="L495" s="19" t="str">
        <f aca="false">IF($A495="","",IF($K495="","Needs ADU",IF($K495&lt;=0,"No recent demand",IF(N($D495)&lt;=0,"Needs lead time","Planned"))))</f>
        <v/>
      </c>
      <c r="M495" s="8" t="str">
        <f aca="false">IF($A495="","",IF(ISNUMBER(MATCH($C495,Profiles!$A$2:$A$100,0)),$C495,DefaultProfile))</f>
        <v/>
      </c>
      <c r="N495" s="20" t="str">
        <f aca="false">IF($A495="","",INDEX(Profiles!$D$2:$D$100,MATCH($M495,Profiles!$A$2:$A$100,0)))</f>
        <v/>
      </c>
      <c r="O495" s="20" t="str">
        <f aca="false">IF($A495="","",INDEX(Profiles!$E$2:$E$100,MATCH($M495,Profiles!$A$2:$A$100,0)))</f>
        <v/>
      </c>
      <c r="P495" s="21" t="str">
        <f aca="false">IF($L495&lt;&gt;"Planned","",$K495*$D495*$N495*(1+$O495))</f>
        <v/>
      </c>
      <c r="Q495" s="21" t="str">
        <f aca="false">IF($L495&lt;&gt;"Planned","",$K495*$D495)</f>
        <v/>
      </c>
      <c r="R495" s="21" t="str">
        <f aca="false">IF($L495&lt;&gt;"Planned","",MAX(N($E495),$K495*$D495*$N495,$K495*N($G495)))</f>
        <v/>
      </c>
      <c r="S495" s="21" t="str">
        <f aca="false">IF($L495&lt;&gt;"Planned","",$P495)</f>
        <v/>
      </c>
      <c r="T495" s="21" t="str">
        <f aca="false">IF($L495&lt;&gt;"Planned","",$P495+$Q495)</f>
        <v/>
      </c>
      <c r="U495" s="21" t="str">
        <f aca="false">IF($L495&lt;&gt;"Planned","",$T495+$R495)</f>
        <v/>
      </c>
      <c r="V495" s="8" t="str">
        <f aca="false">IF($A495="","",SUMIFS('Open supply'!$C:$C,'Open supply'!$A:$A,$AF495))</f>
        <v/>
      </c>
      <c r="W495" s="8" t="str">
        <f aca="false">IF($A495="","",SUMIFS('Open supply'!$C:$C,'Open supply'!$A:$A,$AF495,'Open supply'!$B:$B,"&lt;"&amp;PlanDate))</f>
        <v/>
      </c>
      <c r="X495" s="8" t="str">
        <f aca="false">IF($A495="","",SUMIFS('Open demand'!$G:$G,'Open demand'!$A:$A,$AF495))</f>
        <v/>
      </c>
      <c r="Y495" s="8" t="str">
        <f aca="false">IF($L495&lt;&gt;"Planned","",N($H495)+$V495-$X495)</f>
        <v/>
      </c>
      <c r="Z495" s="19" t="str">
        <f aca="false">IF($L495&lt;&gt;"Planned","",IF($Y495&lt;=$S495,"Red",IF($Y495&lt;=$T495,"Yellow",IF($Y495&lt;=$U495,"Green","Above green"))))</f>
        <v/>
      </c>
      <c r="AA495" s="22" t="str">
        <f aca="false">IF(OR($L495&lt;&gt;"Planned",N($U495)&lt;=0),"",$Y495/$U495)</f>
        <v/>
      </c>
      <c r="AB495" s="8" t="str">
        <f aca="false">IF($L495&lt;&gt;"Planned","",IF($Y495&lt;=$T495,ROUNDUP(MAX($U495-$Y495,N($E495))/IF(N($F495)&gt;0,$F495,1)-0.000000001,0)*IF(N($F495)&gt;0,$F495,1),""))</f>
        <v/>
      </c>
      <c r="AC495" s="23" t="str">
        <f aca="false">IF(N($AB495)&gt;0,PlanDate+ROUNDUP($D495,0),"")</f>
        <v/>
      </c>
      <c r="AD495" s="19" t="str">
        <f aca="false">IF($L495&lt;&gt;"Planned","",IF(N($H495)&lt;=0,"Stockout",IF(N($H495)&lt;$S495*0.5,"Critical",IF(N($H495)&lt;=$S495,"Low",IF(N($H495)&gt;$U495,"Over top of green","OK")))))</f>
        <v/>
      </c>
      <c r="AE495" s="8" t="str">
        <f aca="false">IF($A495="","",$A495&amp;"")</f>
        <v/>
      </c>
      <c r="AF495" s="8" t="str">
        <f aca="false">IF($A495="","",SUBSTITUTE(SUBSTITUTE(SUBSTITUTE($A495&amp;"","~","~~"),"*","~*"),"?","~?"))</f>
        <v/>
      </c>
    </row>
    <row r="496" customFormat="false" ht="15" hidden="false" customHeight="false" outlineLevel="0" collapsed="false">
      <c r="A496" s="11"/>
      <c r="B496" s="11"/>
      <c r="C496" s="11"/>
      <c r="D496" s="16"/>
      <c r="E496" s="11"/>
      <c r="F496" s="11"/>
      <c r="G496" s="9"/>
      <c r="H496" s="11"/>
      <c r="I496" s="17"/>
      <c r="J496" s="18" t="str">
        <f aca="false">IF($A496="","",IF(COUNT(Usage!$C:$C)=0,"",MAX(0,SUMIFS(Usage!$C:$C,Usage!$A:$A,$AF496,Usage!$B:$B,"&gt;="&amp;(PlanDate-AduWindow),Usage!$B:$B,"&lt;"&amp;PlanDate))/AduWindow))</f>
        <v/>
      </c>
      <c r="K496" s="18" t="str">
        <f aca="false">IF($A496="","",IF(AND(ISNUMBER($I496),N($I496)&gt;=0),$I496,$J496))</f>
        <v/>
      </c>
      <c r="L496" s="19" t="str">
        <f aca="false">IF($A496="","",IF($K496="","Needs ADU",IF($K496&lt;=0,"No recent demand",IF(N($D496)&lt;=0,"Needs lead time","Planned"))))</f>
        <v/>
      </c>
      <c r="M496" s="8" t="str">
        <f aca="false">IF($A496="","",IF(ISNUMBER(MATCH($C496,Profiles!$A$2:$A$100,0)),$C496,DefaultProfile))</f>
        <v/>
      </c>
      <c r="N496" s="20" t="str">
        <f aca="false">IF($A496="","",INDEX(Profiles!$D$2:$D$100,MATCH($M496,Profiles!$A$2:$A$100,0)))</f>
        <v/>
      </c>
      <c r="O496" s="20" t="str">
        <f aca="false">IF($A496="","",INDEX(Profiles!$E$2:$E$100,MATCH($M496,Profiles!$A$2:$A$100,0)))</f>
        <v/>
      </c>
      <c r="P496" s="21" t="str">
        <f aca="false">IF($L496&lt;&gt;"Planned","",$K496*$D496*$N496*(1+$O496))</f>
        <v/>
      </c>
      <c r="Q496" s="21" t="str">
        <f aca="false">IF($L496&lt;&gt;"Planned","",$K496*$D496)</f>
        <v/>
      </c>
      <c r="R496" s="21" t="str">
        <f aca="false">IF($L496&lt;&gt;"Planned","",MAX(N($E496),$K496*$D496*$N496,$K496*N($G496)))</f>
        <v/>
      </c>
      <c r="S496" s="21" t="str">
        <f aca="false">IF($L496&lt;&gt;"Planned","",$P496)</f>
        <v/>
      </c>
      <c r="T496" s="21" t="str">
        <f aca="false">IF($L496&lt;&gt;"Planned","",$P496+$Q496)</f>
        <v/>
      </c>
      <c r="U496" s="21" t="str">
        <f aca="false">IF($L496&lt;&gt;"Planned","",$T496+$R496)</f>
        <v/>
      </c>
      <c r="V496" s="8" t="str">
        <f aca="false">IF($A496="","",SUMIFS('Open supply'!$C:$C,'Open supply'!$A:$A,$AF496))</f>
        <v/>
      </c>
      <c r="W496" s="8" t="str">
        <f aca="false">IF($A496="","",SUMIFS('Open supply'!$C:$C,'Open supply'!$A:$A,$AF496,'Open supply'!$B:$B,"&lt;"&amp;PlanDate))</f>
        <v/>
      </c>
      <c r="X496" s="8" t="str">
        <f aca="false">IF($A496="","",SUMIFS('Open demand'!$G:$G,'Open demand'!$A:$A,$AF496))</f>
        <v/>
      </c>
      <c r="Y496" s="8" t="str">
        <f aca="false">IF($L496&lt;&gt;"Planned","",N($H496)+$V496-$X496)</f>
        <v/>
      </c>
      <c r="Z496" s="19" t="str">
        <f aca="false">IF($L496&lt;&gt;"Planned","",IF($Y496&lt;=$S496,"Red",IF($Y496&lt;=$T496,"Yellow",IF($Y496&lt;=$U496,"Green","Above green"))))</f>
        <v/>
      </c>
      <c r="AA496" s="22" t="str">
        <f aca="false">IF(OR($L496&lt;&gt;"Planned",N($U496)&lt;=0),"",$Y496/$U496)</f>
        <v/>
      </c>
      <c r="AB496" s="8" t="str">
        <f aca="false">IF($L496&lt;&gt;"Planned","",IF($Y496&lt;=$T496,ROUNDUP(MAX($U496-$Y496,N($E496))/IF(N($F496)&gt;0,$F496,1)-0.000000001,0)*IF(N($F496)&gt;0,$F496,1),""))</f>
        <v/>
      </c>
      <c r="AC496" s="23" t="str">
        <f aca="false">IF(N($AB496)&gt;0,PlanDate+ROUNDUP($D496,0),"")</f>
        <v/>
      </c>
      <c r="AD496" s="19" t="str">
        <f aca="false">IF($L496&lt;&gt;"Planned","",IF(N($H496)&lt;=0,"Stockout",IF(N($H496)&lt;$S496*0.5,"Critical",IF(N($H496)&lt;=$S496,"Low",IF(N($H496)&gt;$U496,"Over top of green","OK")))))</f>
        <v/>
      </c>
      <c r="AE496" s="8" t="str">
        <f aca="false">IF($A496="","",$A496&amp;"")</f>
        <v/>
      </c>
      <c r="AF496" s="8" t="str">
        <f aca="false">IF($A496="","",SUBSTITUTE(SUBSTITUTE(SUBSTITUTE($A496&amp;"","~","~~"),"*","~*"),"?","~?"))</f>
        <v/>
      </c>
    </row>
    <row r="497" customFormat="false" ht="15" hidden="false" customHeight="false" outlineLevel="0" collapsed="false">
      <c r="A497" s="11"/>
      <c r="B497" s="11"/>
      <c r="C497" s="11"/>
      <c r="D497" s="16"/>
      <c r="E497" s="11"/>
      <c r="F497" s="11"/>
      <c r="G497" s="9"/>
      <c r="H497" s="11"/>
      <c r="I497" s="17"/>
      <c r="J497" s="18" t="str">
        <f aca="false">IF($A497="","",IF(COUNT(Usage!$C:$C)=0,"",MAX(0,SUMIFS(Usage!$C:$C,Usage!$A:$A,$AF497,Usage!$B:$B,"&gt;="&amp;(PlanDate-AduWindow),Usage!$B:$B,"&lt;"&amp;PlanDate))/AduWindow))</f>
        <v/>
      </c>
      <c r="K497" s="18" t="str">
        <f aca="false">IF($A497="","",IF(AND(ISNUMBER($I497),N($I497)&gt;=0),$I497,$J497))</f>
        <v/>
      </c>
      <c r="L497" s="19" t="str">
        <f aca="false">IF($A497="","",IF($K497="","Needs ADU",IF($K497&lt;=0,"No recent demand",IF(N($D497)&lt;=0,"Needs lead time","Planned"))))</f>
        <v/>
      </c>
      <c r="M497" s="8" t="str">
        <f aca="false">IF($A497="","",IF(ISNUMBER(MATCH($C497,Profiles!$A$2:$A$100,0)),$C497,DefaultProfile))</f>
        <v/>
      </c>
      <c r="N497" s="20" t="str">
        <f aca="false">IF($A497="","",INDEX(Profiles!$D$2:$D$100,MATCH($M497,Profiles!$A$2:$A$100,0)))</f>
        <v/>
      </c>
      <c r="O497" s="20" t="str">
        <f aca="false">IF($A497="","",INDEX(Profiles!$E$2:$E$100,MATCH($M497,Profiles!$A$2:$A$100,0)))</f>
        <v/>
      </c>
      <c r="P497" s="21" t="str">
        <f aca="false">IF($L497&lt;&gt;"Planned","",$K497*$D497*$N497*(1+$O497))</f>
        <v/>
      </c>
      <c r="Q497" s="21" t="str">
        <f aca="false">IF($L497&lt;&gt;"Planned","",$K497*$D497)</f>
        <v/>
      </c>
      <c r="R497" s="21" t="str">
        <f aca="false">IF($L497&lt;&gt;"Planned","",MAX(N($E497),$K497*$D497*$N497,$K497*N($G497)))</f>
        <v/>
      </c>
      <c r="S497" s="21" t="str">
        <f aca="false">IF($L497&lt;&gt;"Planned","",$P497)</f>
        <v/>
      </c>
      <c r="T497" s="21" t="str">
        <f aca="false">IF($L497&lt;&gt;"Planned","",$P497+$Q497)</f>
        <v/>
      </c>
      <c r="U497" s="21" t="str">
        <f aca="false">IF($L497&lt;&gt;"Planned","",$T497+$R497)</f>
        <v/>
      </c>
      <c r="V497" s="8" t="str">
        <f aca="false">IF($A497="","",SUMIFS('Open supply'!$C:$C,'Open supply'!$A:$A,$AF497))</f>
        <v/>
      </c>
      <c r="W497" s="8" t="str">
        <f aca="false">IF($A497="","",SUMIFS('Open supply'!$C:$C,'Open supply'!$A:$A,$AF497,'Open supply'!$B:$B,"&lt;"&amp;PlanDate))</f>
        <v/>
      </c>
      <c r="X497" s="8" t="str">
        <f aca="false">IF($A497="","",SUMIFS('Open demand'!$G:$G,'Open demand'!$A:$A,$AF497))</f>
        <v/>
      </c>
      <c r="Y497" s="8" t="str">
        <f aca="false">IF($L497&lt;&gt;"Planned","",N($H497)+$V497-$X497)</f>
        <v/>
      </c>
      <c r="Z497" s="19" t="str">
        <f aca="false">IF($L497&lt;&gt;"Planned","",IF($Y497&lt;=$S497,"Red",IF($Y497&lt;=$T497,"Yellow",IF($Y497&lt;=$U497,"Green","Above green"))))</f>
        <v/>
      </c>
      <c r="AA497" s="22" t="str">
        <f aca="false">IF(OR($L497&lt;&gt;"Planned",N($U497)&lt;=0),"",$Y497/$U497)</f>
        <v/>
      </c>
      <c r="AB497" s="8" t="str">
        <f aca="false">IF($L497&lt;&gt;"Planned","",IF($Y497&lt;=$T497,ROUNDUP(MAX($U497-$Y497,N($E497))/IF(N($F497)&gt;0,$F497,1)-0.000000001,0)*IF(N($F497)&gt;0,$F497,1),""))</f>
        <v/>
      </c>
      <c r="AC497" s="23" t="str">
        <f aca="false">IF(N($AB497)&gt;0,PlanDate+ROUNDUP($D497,0),"")</f>
        <v/>
      </c>
      <c r="AD497" s="19" t="str">
        <f aca="false">IF($L497&lt;&gt;"Planned","",IF(N($H497)&lt;=0,"Stockout",IF(N($H497)&lt;$S497*0.5,"Critical",IF(N($H497)&lt;=$S497,"Low",IF(N($H497)&gt;$U497,"Over top of green","OK")))))</f>
        <v/>
      </c>
      <c r="AE497" s="8" t="str">
        <f aca="false">IF($A497="","",$A497&amp;"")</f>
        <v/>
      </c>
      <c r="AF497" s="8" t="str">
        <f aca="false">IF($A497="","",SUBSTITUTE(SUBSTITUTE(SUBSTITUTE($A497&amp;"","~","~~"),"*","~*"),"?","~?"))</f>
        <v/>
      </c>
    </row>
    <row r="498" customFormat="false" ht="15" hidden="false" customHeight="false" outlineLevel="0" collapsed="false">
      <c r="A498" s="11"/>
      <c r="B498" s="11"/>
      <c r="C498" s="11"/>
      <c r="D498" s="16"/>
      <c r="E498" s="11"/>
      <c r="F498" s="11"/>
      <c r="G498" s="9"/>
      <c r="H498" s="11"/>
      <c r="I498" s="17"/>
      <c r="J498" s="18" t="str">
        <f aca="false">IF($A498="","",IF(COUNT(Usage!$C:$C)=0,"",MAX(0,SUMIFS(Usage!$C:$C,Usage!$A:$A,$AF498,Usage!$B:$B,"&gt;="&amp;(PlanDate-AduWindow),Usage!$B:$B,"&lt;"&amp;PlanDate))/AduWindow))</f>
        <v/>
      </c>
      <c r="K498" s="18" t="str">
        <f aca="false">IF($A498="","",IF(AND(ISNUMBER($I498),N($I498)&gt;=0),$I498,$J498))</f>
        <v/>
      </c>
      <c r="L498" s="19" t="str">
        <f aca="false">IF($A498="","",IF($K498="","Needs ADU",IF($K498&lt;=0,"No recent demand",IF(N($D498)&lt;=0,"Needs lead time","Planned"))))</f>
        <v/>
      </c>
      <c r="M498" s="8" t="str">
        <f aca="false">IF($A498="","",IF(ISNUMBER(MATCH($C498,Profiles!$A$2:$A$100,0)),$C498,DefaultProfile))</f>
        <v/>
      </c>
      <c r="N498" s="20" t="str">
        <f aca="false">IF($A498="","",INDEX(Profiles!$D$2:$D$100,MATCH($M498,Profiles!$A$2:$A$100,0)))</f>
        <v/>
      </c>
      <c r="O498" s="20" t="str">
        <f aca="false">IF($A498="","",INDEX(Profiles!$E$2:$E$100,MATCH($M498,Profiles!$A$2:$A$100,0)))</f>
        <v/>
      </c>
      <c r="P498" s="21" t="str">
        <f aca="false">IF($L498&lt;&gt;"Planned","",$K498*$D498*$N498*(1+$O498))</f>
        <v/>
      </c>
      <c r="Q498" s="21" t="str">
        <f aca="false">IF($L498&lt;&gt;"Planned","",$K498*$D498)</f>
        <v/>
      </c>
      <c r="R498" s="21" t="str">
        <f aca="false">IF($L498&lt;&gt;"Planned","",MAX(N($E498),$K498*$D498*$N498,$K498*N($G498)))</f>
        <v/>
      </c>
      <c r="S498" s="21" t="str">
        <f aca="false">IF($L498&lt;&gt;"Planned","",$P498)</f>
        <v/>
      </c>
      <c r="T498" s="21" t="str">
        <f aca="false">IF($L498&lt;&gt;"Planned","",$P498+$Q498)</f>
        <v/>
      </c>
      <c r="U498" s="21" t="str">
        <f aca="false">IF($L498&lt;&gt;"Planned","",$T498+$R498)</f>
        <v/>
      </c>
      <c r="V498" s="8" t="str">
        <f aca="false">IF($A498="","",SUMIFS('Open supply'!$C:$C,'Open supply'!$A:$A,$AF498))</f>
        <v/>
      </c>
      <c r="W498" s="8" t="str">
        <f aca="false">IF($A498="","",SUMIFS('Open supply'!$C:$C,'Open supply'!$A:$A,$AF498,'Open supply'!$B:$B,"&lt;"&amp;PlanDate))</f>
        <v/>
      </c>
      <c r="X498" s="8" t="str">
        <f aca="false">IF($A498="","",SUMIFS('Open demand'!$G:$G,'Open demand'!$A:$A,$AF498))</f>
        <v/>
      </c>
      <c r="Y498" s="8" t="str">
        <f aca="false">IF($L498&lt;&gt;"Planned","",N($H498)+$V498-$X498)</f>
        <v/>
      </c>
      <c r="Z498" s="19" t="str">
        <f aca="false">IF($L498&lt;&gt;"Planned","",IF($Y498&lt;=$S498,"Red",IF($Y498&lt;=$T498,"Yellow",IF($Y498&lt;=$U498,"Green","Above green"))))</f>
        <v/>
      </c>
      <c r="AA498" s="22" t="str">
        <f aca="false">IF(OR($L498&lt;&gt;"Planned",N($U498)&lt;=0),"",$Y498/$U498)</f>
        <v/>
      </c>
      <c r="AB498" s="8" t="str">
        <f aca="false">IF($L498&lt;&gt;"Planned","",IF($Y498&lt;=$T498,ROUNDUP(MAX($U498-$Y498,N($E498))/IF(N($F498)&gt;0,$F498,1)-0.000000001,0)*IF(N($F498)&gt;0,$F498,1),""))</f>
        <v/>
      </c>
      <c r="AC498" s="23" t="str">
        <f aca="false">IF(N($AB498)&gt;0,PlanDate+ROUNDUP($D498,0),"")</f>
        <v/>
      </c>
      <c r="AD498" s="19" t="str">
        <f aca="false">IF($L498&lt;&gt;"Planned","",IF(N($H498)&lt;=0,"Stockout",IF(N($H498)&lt;$S498*0.5,"Critical",IF(N($H498)&lt;=$S498,"Low",IF(N($H498)&gt;$U498,"Over top of green","OK")))))</f>
        <v/>
      </c>
      <c r="AE498" s="8" t="str">
        <f aca="false">IF($A498="","",$A498&amp;"")</f>
        <v/>
      </c>
      <c r="AF498" s="8" t="str">
        <f aca="false">IF($A498="","",SUBSTITUTE(SUBSTITUTE(SUBSTITUTE($A498&amp;"","~","~~"),"*","~*"),"?","~?"))</f>
        <v/>
      </c>
    </row>
    <row r="499" customFormat="false" ht="15" hidden="false" customHeight="false" outlineLevel="0" collapsed="false">
      <c r="A499" s="11"/>
      <c r="B499" s="11"/>
      <c r="C499" s="11"/>
      <c r="D499" s="16"/>
      <c r="E499" s="11"/>
      <c r="F499" s="11"/>
      <c r="G499" s="9"/>
      <c r="H499" s="11"/>
      <c r="I499" s="17"/>
      <c r="J499" s="18" t="str">
        <f aca="false">IF($A499="","",IF(COUNT(Usage!$C:$C)=0,"",MAX(0,SUMIFS(Usage!$C:$C,Usage!$A:$A,$AF499,Usage!$B:$B,"&gt;="&amp;(PlanDate-AduWindow),Usage!$B:$B,"&lt;"&amp;PlanDate))/AduWindow))</f>
        <v/>
      </c>
      <c r="K499" s="18" t="str">
        <f aca="false">IF($A499="","",IF(AND(ISNUMBER($I499),N($I499)&gt;=0),$I499,$J499))</f>
        <v/>
      </c>
      <c r="L499" s="19" t="str">
        <f aca="false">IF($A499="","",IF($K499="","Needs ADU",IF($K499&lt;=0,"No recent demand",IF(N($D499)&lt;=0,"Needs lead time","Planned"))))</f>
        <v/>
      </c>
      <c r="M499" s="8" t="str">
        <f aca="false">IF($A499="","",IF(ISNUMBER(MATCH($C499,Profiles!$A$2:$A$100,0)),$C499,DefaultProfile))</f>
        <v/>
      </c>
      <c r="N499" s="20" t="str">
        <f aca="false">IF($A499="","",INDEX(Profiles!$D$2:$D$100,MATCH($M499,Profiles!$A$2:$A$100,0)))</f>
        <v/>
      </c>
      <c r="O499" s="20" t="str">
        <f aca="false">IF($A499="","",INDEX(Profiles!$E$2:$E$100,MATCH($M499,Profiles!$A$2:$A$100,0)))</f>
        <v/>
      </c>
      <c r="P499" s="21" t="str">
        <f aca="false">IF($L499&lt;&gt;"Planned","",$K499*$D499*$N499*(1+$O499))</f>
        <v/>
      </c>
      <c r="Q499" s="21" t="str">
        <f aca="false">IF($L499&lt;&gt;"Planned","",$K499*$D499)</f>
        <v/>
      </c>
      <c r="R499" s="21" t="str">
        <f aca="false">IF($L499&lt;&gt;"Planned","",MAX(N($E499),$K499*$D499*$N499,$K499*N($G499)))</f>
        <v/>
      </c>
      <c r="S499" s="21" t="str">
        <f aca="false">IF($L499&lt;&gt;"Planned","",$P499)</f>
        <v/>
      </c>
      <c r="T499" s="21" t="str">
        <f aca="false">IF($L499&lt;&gt;"Planned","",$P499+$Q499)</f>
        <v/>
      </c>
      <c r="U499" s="21" t="str">
        <f aca="false">IF($L499&lt;&gt;"Planned","",$T499+$R499)</f>
        <v/>
      </c>
      <c r="V499" s="8" t="str">
        <f aca="false">IF($A499="","",SUMIFS('Open supply'!$C:$C,'Open supply'!$A:$A,$AF499))</f>
        <v/>
      </c>
      <c r="W499" s="8" t="str">
        <f aca="false">IF($A499="","",SUMIFS('Open supply'!$C:$C,'Open supply'!$A:$A,$AF499,'Open supply'!$B:$B,"&lt;"&amp;PlanDate))</f>
        <v/>
      </c>
      <c r="X499" s="8" t="str">
        <f aca="false">IF($A499="","",SUMIFS('Open demand'!$G:$G,'Open demand'!$A:$A,$AF499))</f>
        <v/>
      </c>
      <c r="Y499" s="8" t="str">
        <f aca="false">IF($L499&lt;&gt;"Planned","",N($H499)+$V499-$X499)</f>
        <v/>
      </c>
      <c r="Z499" s="19" t="str">
        <f aca="false">IF($L499&lt;&gt;"Planned","",IF($Y499&lt;=$S499,"Red",IF($Y499&lt;=$T499,"Yellow",IF($Y499&lt;=$U499,"Green","Above green"))))</f>
        <v/>
      </c>
      <c r="AA499" s="22" t="str">
        <f aca="false">IF(OR($L499&lt;&gt;"Planned",N($U499)&lt;=0),"",$Y499/$U499)</f>
        <v/>
      </c>
      <c r="AB499" s="8" t="str">
        <f aca="false">IF($L499&lt;&gt;"Planned","",IF($Y499&lt;=$T499,ROUNDUP(MAX($U499-$Y499,N($E499))/IF(N($F499)&gt;0,$F499,1)-0.000000001,0)*IF(N($F499)&gt;0,$F499,1),""))</f>
        <v/>
      </c>
      <c r="AC499" s="23" t="str">
        <f aca="false">IF(N($AB499)&gt;0,PlanDate+ROUNDUP($D499,0),"")</f>
        <v/>
      </c>
      <c r="AD499" s="19" t="str">
        <f aca="false">IF($L499&lt;&gt;"Planned","",IF(N($H499)&lt;=0,"Stockout",IF(N($H499)&lt;$S499*0.5,"Critical",IF(N($H499)&lt;=$S499,"Low",IF(N($H499)&gt;$U499,"Over top of green","OK")))))</f>
        <v/>
      </c>
      <c r="AE499" s="8" t="str">
        <f aca="false">IF($A499="","",$A499&amp;"")</f>
        <v/>
      </c>
      <c r="AF499" s="8" t="str">
        <f aca="false">IF($A499="","",SUBSTITUTE(SUBSTITUTE(SUBSTITUTE($A499&amp;"","~","~~"),"*","~*"),"?","~?"))</f>
        <v/>
      </c>
    </row>
    <row r="500" customFormat="false" ht="15" hidden="false" customHeight="false" outlineLevel="0" collapsed="false">
      <c r="A500" s="11"/>
      <c r="B500" s="11"/>
      <c r="C500" s="11"/>
      <c r="D500" s="16"/>
      <c r="E500" s="11"/>
      <c r="F500" s="11"/>
      <c r="G500" s="9"/>
      <c r="H500" s="11"/>
      <c r="I500" s="17"/>
      <c r="J500" s="18" t="str">
        <f aca="false">IF($A500="","",IF(COUNT(Usage!$C:$C)=0,"",MAX(0,SUMIFS(Usage!$C:$C,Usage!$A:$A,$AF500,Usage!$B:$B,"&gt;="&amp;(PlanDate-AduWindow),Usage!$B:$B,"&lt;"&amp;PlanDate))/AduWindow))</f>
        <v/>
      </c>
      <c r="K500" s="18" t="str">
        <f aca="false">IF($A500="","",IF(AND(ISNUMBER($I500),N($I500)&gt;=0),$I500,$J500))</f>
        <v/>
      </c>
      <c r="L500" s="19" t="str">
        <f aca="false">IF($A500="","",IF($K500="","Needs ADU",IF($K500&lt;=0,"No recent demand",IF(N($D500)&lt;=0,"Needs lead time","Planned"))))</f>
        <v/>
      </c>
      <c r="M500" s="8" t="str">
        <f aca="false">IF($A500="","",IF(ISNUMBER(MATCH($C500,Profiles!$A$2:$A$100,0)),$C500,DefaultProfile))</f>
        <v/>
      </c>
      <c r="N500" s="20" t="str">
        <f aca="false">IF($A500="","",INDEX(Profiles!$D$2:$D$100,MATCH($M500,Profiles!$A$2:$A$100,0)))</f>
        <v/>
      </c>
      <c r="O500" s="20" t="str">
        <f aca="false">IF($A500="","",INDEX(Profiles!$E$2:$E$100,MATCH($M500,Profiles!$A$2:$A$100,0)))</f>
        <v/>
      </c>
      <c r="P500" s="21" t="str">
        <f aca="false">IF($L500&lt;&gt;"Planned","",$K500*$D500*$N500*(1+$O500))</f>
        <v/>
      </c>
      <c r="Q500" s="21" t="str">
        <f aca="false">IF($L500&lt;&gt;"Planned","",$K500*$D500)</f>
        <v/>
      </c>
      <c r="R500" s="21" t="str">
        <f aca="false">IF($L500&lt;&gt;"Planned","",MAX(N($E500),$K500*$D500*$N500,$K500*N($G500)))</f>
        <v/>
      </c>
      <c r="S500" s="21" t="str">
        <f aca="false">IF($L500&lt;&gt;"Planned","",$P500)</f>
        <v/>
      </c>
      <c r="T500" s="21" t="str">
        <f aca="false">IF($L500&lt;&gt;"Planned","",$P500+$Q500)</f>
        <v/>
      </c>
      <c r="U500" s="21" t="str">
        <f aca="false">IF($L500&lt;&gt;"Planned","",$T500+$R500)</f>
        <v/>
      </c>
      <c r="V500" s="8" t="str">
        <f aca="false">IF($A500="","",SUMIFS('Open supply'!$C:$C,'Open supply'!$A:$A,$AF500))</f>
        <v/>
      </c>
      <c r="W500" s="8" t="str">
        <f aca="false">IF($A500="","",SUMIFS('Open supply'!$C:$C,'Open supply'!$A:$A,$AF500,'Open supply'!$B:$B,"&lt;"&amp;PlanDate))</f>
        <v/>
      </c>
      <c r="X500" s="8" t="str">
        <f aca="false">IF($A500="","",SUMIFS('Open demand'!$G:$G,'Open demand'!$A:$A,$AF500))</f>
        <v/>
      </c>
      <c r="Y500" s="8" t="str">
        <f aca="false">IF($L500&lt;&gt;"Planned","",N($H500)+$V500-$X500)</f>
        <v/>
      </c>
      <c r="Z500" s="19" t="str">
        <f aca="false">IF($L500&lt;&gt;"Planned","",IF($Y500&lt;=$S500,"Red",IF($Y500&lt;=$T500,"Yellow",IF($Y500&lt;=$U500,"Green","Above green"))))</f>
        <v/>
      </c>
      <c r="AA500" s="22" t="str">
        <f aca="false">IF(OR($L500&lt;&gt;"Planned",N($U500)&lt;=0),"",$Y500/$U500)</f>
        <v/>
      </c>
      <c r="AB500" s="8" t="str">
        <f aca="false">IF($L500&lt;&gt;"Planned","",IF($Y500&lt;=$T500,ROUNDUP(MAX($U500-$Y500,N($E500))/IF(N($F500)&gt;0,$F500,1)-0.000000001,0)*IF(N($F500)&gt;0,$F500,1),""))</f>
        <v/>
      </c>
      <c r="AC500" s="23" t="str">
        <f aca="false">IF(N($AB500)&gt;0,PlanDate+ROUNDUP($D500,0),"")</f>
        <v/>
      </c>
      <c r="AD500" s="19" t="str">
        <f aca="false">IF($L500&lt;&gt;"Planned","",IF(N($H500)&lt;=0,"Stockout",IF(N($H500)&lt;$S500*0.5,"Critical",IF(N($H500)&lt;=$S500,"Low",IF(N($H500)&gt;$U500,"Over top of green","OK")))))</f>
        <v/>
      </c>
      <c r="AE500" s="8" t="str">
        <f aca="false">IF($A500="","",$A500&amp;"")</f>
        <v/>
      </c>
      <c r="AF500" s="8" t="str">
        <f aca="false">IF($A500="","",SUBSTITUTE(SUBSTITUTE(SUBSTITUTE($A500&amp;"","~","~~"),"*","~*"),"?","~?"))</f>
        <v/>
      </c>
    </row>
    <row r="501" customFormat="false" ht="15" hidden="false" customHeight="false" outlineLevel="0" collapsed="false">
      <c r="A501" s="11"/>
      <c r="B501" s="11"/>
      <c r="C501" s="11"/>
      <c r="D501" s="16"/>
      <c r="E501" s="11"/>
      <c r="F501" s="11"/>
      <c r="G501" s="9"/>
      <c r="H501" s="11"/>
      <c r="I501" s="17"/>
      <c r="J501" s="18" t="str">
        <f aca="false">IF($A501="","",IF(COUNT(Usage!$C:$C)=0,"",MAX(0,SUMIFS(Usage!$C:$C,Usage!$A:$A,$AF501,Usage!$B:$B,"&gt;="&amp;(PlanDate-AduWindow),Usage!$B:$B,"&lt;"&amp;PlanDate))/AduWindow))</f>
        <v/>
      </c>
      <c r="K501" s="18" t="str">
        <f aca="false">IF($A501="","",IF(AND(ISNUMBER($I501),N($I501)&gt;=0),$I501,$J501))</f>
        <v/>
      </c>
      <c r="L501" s="19" t="str">
        <f aca="false">IF($A501="","",IF($K501="","Needs ADU",IF($K501&lt;=0,"No recent demand",IF(N($D501)&lt;=0,"Needs lead time","Planned"))))</f>
        <v/>
      </c>
      <c r="M501" s="8" t="str">
        <f aca="false">IF($A501="","",IF(ISNUMBER(MATCH($C501,Profiles!$A$2:$A$100,0)),$C501,DefaultProfile))</f>
        <v/>
      </c>
      <c r="N501" s="20" t="str">
        <f aca="false">IF($A501="","",INDEX(Profiles!$D$2:$D$100,MATCH($M501,Profiles!$A$2:$A$100,0)))</f>
        <v/>
      </c>
      <c r="O501" s="20" t="str">
        <f aca="false">IF($A501="","",INDEX(Profiles!$E$2:$E$100,MATCH($M501,Profiles!$A$2:$A$100,0)))</f>
        <v/>
      </c>
      <c r="P501" s="21" t="str">
        <f aca="false">IF($L501&lt;&gt;"Planned","",$K501*$D501*$N501*(1+$O501))</f>
        <v/>
      </c>
      <c r="Q501" s="21" t="str">
        <f aca="false">IF($L501&lt;&gt;"Planned","",$K501*$D501)</f>
        <v/>
      </c>
      <c r="R501" s="21" t="str">
        <f aca="false">IF($L501&lt;&gt;"Planned","",MAX(N($E501),$K501*$D501*$N501,$K501*N($G501)))</f>
        <v/>
      </c>
      <c r="S501" s="21" t="str">
        <f aca="false">IF($L501&lt;&gt;"Planned","",$P501)</f>
        <v/>
      </c>
      <c r="T501" s="21" t="str">
        <f aca="false">IF($L501&lt;&gt;"Planned","",$P501+$Q501)</f>
        <v/>
      </c>
      <c r="U501" s="21" t="str">
        <f aca="false">IF($L501&lt;&gt;"Planned","",$T501+$R501)</f>
        <v/>
      </c>
      <c r="V501" s="8" t="str">
        <f aca="false">IF($A501="","",SUMIFS('Open supply'!$C:$C,'Open supply'!$A:$A,$AF501))</f>
        <v/>
      </c>
      <c r="W501" s="8" t="str">
        <f aca="false">IF($A501="","",SUMIFS('Open supply'!$C:$C,'Open supply'!$A:$A,$AF501,'Open supply'!$B:$B,"&lt;"&amp;PlanDate))</f>
        <v/>
      </c>
      <c r="X501" s="8" t="str">
        <f aca="false">IF($A501="","",SUMIFS('Open demand'!$G:$G,'Open demand'!$A:$A,$AF501))</f>
        <v/>
      </c>
      <c r="Y501" s="8" t="str">
        <f aca="false">IF($L501&lt;&gt;"Planned","",N($H501)+$V501-$X501)</f>
        <v/>
      </c>
      <c r="Z501" s="19" t="str">
        <f aca="false">IF($L501&lt;&gt;"Planned","",IF($Y501&lt;=$S501,"Red",IF($Y501&lt;=$T501,"Yellow",IF($Y501&lt;=$U501,"Green","Above green"))))</f>
        <v/>
      </c>
      <c r="AA501" s="22" t="str">
        <f aca="false">IF(OR($L501&lt;&gt;"Planned",N($U501)&lt;=0),"",$Y501/$U501)</f>
        <v/>
      </c>
      <c r="AB501" s="8" t="str">
        <f aca="false">IF($L501&lt;&gt;"Planned","",IF($Y501&lt;=$T501,ROUNDUP(MAX($U501-$Y501,N($E501))/IF(N($F501)&gt;0,$F501,1)-0.000000001,0)*IF(N($F501)&gt;0,$F501,1),""))</f>
        <v/>
      </c>
      <c r="AC501" s="23" t="str">
        <f aca="false">IF(N($AB501)&gt;0,PlanDate+ROUNDUP($D501,0),"")</f>
        <v/>
      </c>
      <c r="AD501" s="19" t="str">
        <f aca="false">IF($L501&lt;&gt;"Planned","",IF(N($H501)&lt;=0,"Stockout",IF(N($H501)&lt;$S501*0.5,"Critical",IF(N($H501)&lt;=$S501,"Low",IF(N($H501)&gt;$U501,"Over top of green","OK")))))</f>
        <v/>
      </c>
      <c r="AE501" s="8" t="str">
        <f aca="false">IF($A501="","",$A501&amp;"")</f>
        <v/>
      </c>
      <c r="AF501" s="8" t="str">
        <f aca="false">IF($A501="","",SUBSTITUTE(SUBSTITUTE(SUBSTITUTE($A501&amp;"","~","~~"),"*","~*"),"?","~?"))</f>
        <v/>
      </c>
    </row>
  </sheetData>
  <conditionalFormatting sqref="Z2:Z501">
    <cfRule type="cellIs" priority="2" operator="equal" aboveAverage="0" equalAverage="0" bottom="0" percent="0" rank="0" text="" dxfId="0">
      <formula>"Red"</formula>
    </cfRule>
    <cfRule type="cellIs" priority="3" operator="equal" aboveAverage="0" equalAverage="0" bottom="0" percent="0" rank="0" text="" dxfId="1">
      <formula>"Yellow"</formula>
    </cfRule>
    <cfRule type="cellIs" priority="4" operator="equal" aboveAverage="0" equalAverage="0" bottom="0" percent="0" rank="0" text="" dxfId="2">
      <formula>"Green"</formula>
    </cfRule>
    <cfRule type="cellIs" priority="5" operator="equal" aboveAverage="0" equalAverage="0" bottom="0" percent="0" rank="0" text="" dxfId="3">
      <formula>"Above green"</formula>
    </cfRule>
  </conditionalFormatting>
  <conditionalFormatting sqref="AD2:AD501">
    <cfRule type="cellIs" priority="6" operator="equal" aboveAverage="0" equalAverage="0" bottom="0" percent="0" rank="0" text="" dxfId="4">
      <formula>"Stockout"</formula>
    </cfRule>
    <cfRule type="cellIs" priority="7" operator="equal" aboveAverage="0" equalAverage="0" bottom="0" percent="0" rank="0" text="" dxfId="0">
      <formula>"Critical"</formula>
    </cfRule>
    <cfRule type="cellIs" priority="8" operator="equal" aboveAverage="0" equalAverage="0" bottom="0" percent="0" rank="0" text="" dxfId="1">
      <formula>"Low"</formula>
    </cfRule>
  </conditionalFormatting>
  <conditionalFormatting sqref="L2:L501">
    <cfRule type="expression" priority="9" aboveAverage="0" equalAverage="0" bottom="0" percent="0" rank="0" text="" dxfId="0">
      <formula>LEFT($L2,5)="Needs"</formula>
    </cfRule>
  </conditionalFormatting>
  <dataValidations count="1">
    <dataValidation allowBlank="true" error="Pick a profile ID from the Profiles sheet." errorStyle="stop" errorTitle="Unknown profile" operator="between" showDropDown="false" showErrorMessage="false" showInputMessage="false" sqref="C2:C501" type="list">
      <formula1>Profiles!$A$2:$A$100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E1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24" t="s">
        <v>84</v>
      </c>
      <c r="B1" s="24" t="s">
        <v>130</v>
      </c>
      <c r="C1" s="24" t="s">
        <v>131</v>
      </c>
      <c r="E1" s="3" t="s">
        <v>132</v>
      </c>
    </row>
    <row r="2" customFormat="false" ht="15" hidden="false" customHeight="false" outlineLevel="0" collapsed="false">
      <c r="A2" s="25" t="s">
        <v>106</v>
      </c>
      <c r="B2" s="26" t="n">
        <f aca="false">PlanDate-120</f>
        <v>46191</v>
      </c>
      <c r="C2" s="25" t="n">
        <v>43</v>
      </c>
    </row>
    <row r="3" customFormat="false" ht="15" hidden="false" customHeight="false" outlineLevel="0" collapsed="false">
      <c r="A3" s="25" t="s">
        <v>106</v>
      </c>
      <c r="B3" s="26" t="n">
        <f aca="false">PlanDate-119</f>
        <v>46192</v>
      </c>
      <c r="C3" s="25" t="n">
        <v>48</v>
      </c>
    </row>
    <row r="4" customFormat="false" ht="15" hidden="false" customHeight="false" outlineLevel="0" collapsed="false">
      <c r="A4" s="25" t="s">
        <v>106</v>
      </c>
      <c r="B4" s="26" t="n">
        <f aca="false">PlanDate-118</f>
        <v>46193</v>
      </c>
      <c r="C4" s="25" t="n">
        <v>45</v>
      </c>
    </row>
    <row r="5" customFormat="false" ht="15" hidden="false" customHeight="false" outlineLevel="0" collapsed="false">
      <c r="A5" s="25" t="s">
        <v>106</v>
      </c>
      <c r="B5" s="26" t="n">
        <f aca="false">PlanDate-117</f>
        <v>46194</v>
      </c>
      <c r="C5" s="25" t="n">
        <v>41</v>
      </c>
    </row>
    <row r="6" customFormat="false" ht="15" hidden="false" customHeight="false" outlineLevel="0" collapsed="false">
      <c r="A6" s="25" t="s">
        <v>106</v>
      </c>
      <c r="B6" s="26" t="n">
        <f aca="false">PlanDate-116</f>
        <v>46195</v>
      </c>
      <c r="C6" s="25" t="n">
        <v>37</v>
      </c>
    </row>
    <row r="7" customFormat="false" ht="15" hidden="false" customHeight="false" outlineLevel="0" collapsed="false">
      <c r="A7" s="25" t="s">
        <v>106</v>
      </c>
      <c r="B7" s="26" t="n">
        <f aca="false">PlanDate-115</f>
        <v>46196</v>
      </c>
      <c r="C7" s="25" t="n">
        <v>37</v>
      </c>
    </row>
    <row r="8" customFormat="false" ht="15" hidden="false" customHeight="false" outlineLevel="0" collapsed="false">
      <c r="A8" s="25" t="s">
        <v>106</v>
      </c>
      <c r="B8" s="26" t="n">
        <f aca="false">PlanDate-114</f>
        <v>46197</v>
      </c>
      <c r="C8" s="25" t="n">
        <v>28</v>
      </c>
    </row>
    <row r="9" customFormat="false" ht="15" hidden="false" customHeight="false" outlineLevel="0" collapsed="false">
      <c r="A9" s="25" t="s">
        <v>106</v>
      </c>
      <c r="B9" s="26" t="n">
        <f aca="false">PlanDate-113</f>
        <v>46198</v>
      </c>
      <c r="C9" s="25" t="n">
        <v>48</v>
      </c>
    </row>
    <row r="10" customFormat="false" ht="15" hidden="false" customHeight="false" outlineLevel="0" collapsed="false">
      <c r="A10" s="25" t="s">
        <v>106</v>
      </c>
      <c r="B10" s="26" t="n">
        <f aca="false">PlanDate-112</f>
        <v>46199</v>
      </c>
      <c r="C10" s="25" t="n">
        <v>29</v>
      </c>
    </row>
    <row r="11" customFormat="false" ht="15" hidden="false" customHeight="false" outlineLevel="0" collapsed="false">
      <c r="A11" s="25" t="s">
        <v>106</v>
      </c>
      <c r="B11" s="26" t="n">
        <f aca="false">PlanDate-111</f>
        <v>46200</v>
      </c>
      <c r="C11" s="25" t="n">
        <v>35</v>
      </c>
    </row>
    <row r="12" customFormat="false" ht="15" hidden="false" customHeight="false" outlineLevel="0" collapsed="false">
      <c r="A12" s="25" t="s">
        <v>106</v>
      </c>
      <c r="B12" s="26" t="n">
        <f aca="false">PlanDate-110</f>
        <v>46201</v>
      </c>
      <c r="C12" s="25" t="n">
        <v>29</v>
      </c>
    </row>
    <row r="13" customFormat="false" ht="15" hidden="false" customHeight="false" outlineLevel="0" collapsed="false">
      <c r="A13" s="25" t="s">
        <v>106</v>
      </c>
      <c r="B13" s="26" t="n">
        <f aca="false">PlanDate-108</f>
        <v>46203</v>
      </c>
      <c r="C13" s="25" t="n">
        <v>28</v>
      </c>
    </row>
    <row r="14" customFormat="false" ht="15" hidden="false" customHeight="false" outlineLevel="0" collapsed="false">
      <c r="A14" s="25" t="s">
        <v>106</v>
      </c>
      <c r="B14" s="26" t="n">
        <f aca="false">PlanDate-107</f>
        <v>46204</v>
      </c>
      <c r="C14" s="25" t="n">
        <v>33</v>
      </c>
    </row>
    <row r="15" customFormat="false" ht="15" hidden="false" customHeight="false" outlineLevel="0" collapsed="false">
      <c r="A15" s="25" t="s">
        <v>106</v>
      </c>
      <c r="B15" s="26" t="n">
        <f aca="false">PlanDate-106</f>
        <v>46205</v>
      </c>
      <c r="C15" s="25" t="n">
        <v>49</v>
      </c>
    </row>
    <row r="16" customFormat="false" ht="15" hidden="false" customHeight="false" outlineLevel="0" collapsed="false">
      <c r="A16" s="25" t="s">
        <v>106</v>
      </c>
      <c r="B16" s="26" t="n">
        <f aca="false">PlanDate-105</f>
        <v>46206</v>
      </c>
      <c r="C16" s="25" t="n">
        <v>28</v>
      </c>
    </row>
    <row r="17" customFormat="false" ht="15" hidden="false" customHeight="false" outlineLevel="0" collapsed="false">
      <c r="A17" s="25" t="s">
        <v>106</v>
      </c>
      <c r="B17" s="26" t="n">
        <f aca="false">PlanDate-104</f>
        <v>46207</v>
      </c>
      <c r="C17" s="25" t="n">
        <v>46</v>
      </c>
    </row>
    <row r="18" customFormat="false" ht="15" hidden="false" customHeight="false" outlineLevel="0" collapsed="false">
      <c r="A18" s="25" t="s">
        <v>106</v>
      </c>
      <c r="B18" s="26" t="n">
        <f aca="false">PlanDate-103</f>
        <v>46208</v>
      </c>
      <c r="C18" s="25" t="n">
        <v>31</v>
      </c>
    </row>
    <row r="19" customFormat="false" ht="15" hidden="false" customHeight="false" outlineLevel="0" collapsed="false">
      <c r="A19" s="25" t="s">
        <v>106</v>
      </c>
      <c r="B19" s="26" t="n">
        <f aca="false">PlanDate-102</f>
        <v>46209</v>
      </c>
      <c r="C19" s="25" t="n">
        <v>30</v>
      </c>
    </row>
    <row r="20" customFormat="false" ht="15" hidden="false" customHeight="false" outlineLevel="0" collapsed="false">
      <c r="A20" s="25" t="s">
        <v>106</v>
      </c>
      <c r="B20" s="26" t="n">
        <f aca="false">PlanDate-101</f>
        <v>46210</v>
      </c>
      <c r="C20" s="25" t="n">
        <v>50</v>
      </c>
    </row>
    <row r="21" customFormat="false" ht="15" hidden="false" customHeight="false" outlineLevel="0" collapsed="false">
      <c r="A21" s="25" t="s">
        <v>106</v>
      </c>
      <c r="B21" s="26" t="n">
        <f aca="false">PlanDate-100</f>
        <v>46211</v>
      </c>
      <c r="C21" s="25" t="n">
        <v>29</v>
      </c>
    </row>
    <row r="22" customFormat="false" ht="15" hidden="false" customHeight="false" outlineLevel="0" collapsed="false">
      <c r="A22" s="25" t="s">
        <v>106</v>
      </c>
      <c r="B22" s="26" t="n">
        <f aca="false">PlanDate-99</f>
        <v>46212</v>
      </c>
      <c r="C22" s="25" t="n">
        <v>42</v>
      </c>
    </row>
    <row r="23" customFormat="false" ht="15" hidden="false" customHeight="false" outlineLevel="0" collapsed="false">
      <c r="A23" s="25" t="s">
        <v>106</v>
      </c>
      <c r="B23" s="26" t="n">
        <f aca="false">PlanDate-98</f>
        <v>46213</v>
      </c>
      <c r="C23" s="25" t="n">
        <v>39</v>
      </c>
    </row>
    <row r="24" customFormat="false" ht="15" hidden="false" customHeight="false" outlineLevel="0" collapsed="false">
      <c r="A24" s="25" t="s">
        <v>106</v>
      </c>
      <c r="B24" s="26" t="n">
        <f aca="false">PlanDate-97</f>
        <v>46214</v>
      </c>
      <c r="C24" s="25" t="n">
        <v>47</v>
      </c>
    </row>
    <row r="25" customFormat="false" ht="15" hidden="false" customHeight="false" outlineLevel="0" collapsed="false">
      <c r="A25" s="25" t="s">
        <v>106</v>
      </c>
      <c r="B25" s="26" t="n">
        <f aca="false">PlanDate-96</f>
        <v>46215</v>
      </c>
      <c r="C25" s="25" t="n">
        <v>37</v>
      </c>
    </row>
    <row r="26" customFormat="false" ht="15" hidden="false" customHeight="false" outlineLevel="0" collapsed="false">
      <c r="A26" s="25" t="s">
        <v>106</v>
      </c>
      <c r="B26" s="26" t="n">
        <f aca="false">PlanDate-95</f>
        <v>46216</v>
      </c>
      <c r="C26" s="25" t="n">
        <v>41</v>
      </c>
    </row>
    <row r="27" customFormat="false" ht="15" hidden="false" customHeight="false" outlineLevel="0" collapsed="false">
      <c r="A27" s="25" t="s">
        <v>106</v>
      </c>
      <c r="B27" s="26" t="n">
        <f aca="false">PlanDate-94</f>
        <v>46217</v>
      </c>
      <c r="C27" s="25" t="n">
        <v>29</v>
      </c>
    </row>
    <row r="28" customFormat="false" ht="15" hidden="false" customHeight="false" outlineLevel="0" collapsed="false">
      <c r="A28" s="25" t="s">
        <v>106</v>
      </c>
      <c r="B28" s="26" t="n">
        <f aca="false">PlanDate-93</f>
        <v>46218</v>
      </c>
      <c r="C28" s="25" t="n">
        <v>30</v>
      </c>
    </row>
    <row r="29" customFormat="false" ht="15" hidden="false" customHeight="false" outlineLevel="0" collapsed="false">
      <c r="A29" s="25" t="s">
        <v>106</v>
      </c>
      <c r="B29" s="26" t="n">
        <f aca="false">PlanDate-92</f>
        <v>46219</v>
      </c>
      <c r="C29" s="25" t="n">
        <v>34</v>
      </c>
    </row>
    <row r="30" customFormat="false" ht="15" hidden="false" customHeight="false" outlineLevel="0" collapsed="false">
      <c r="A30" s="25" t="s">
        <v>106</v>
      </c>
      <c r="B30" s="26" t="n">
        <f aca="false">PlanDate-91</f>
        <v>46220</v>
      </c>
      <c r="C30" s="25" t="n">
        <v>32</v>
      </c>
    </row>
    <row r="31" customFormat="false" ht="15" hidden="false" customHeight="false" outlineLevel="0" collapsed="false">
      <c r="A31" s="25" t="s">
        <v>106</v>
      </c>
      <c r="B31" s="26" t="n">
        <f aca="false">PlanDate-90</f>
        <v>46221</v>
      </c>
      <c r="C31" s="25" t="n">
        <v>47</v>
      </c>
    </row>
    <row r="32" customFormat="false" ht="15" hidden="false" customHeight="false" outlineLevel="0" collapsed="false">
      <c r="A32" s="25" t="s">
        <v>106</v>
      </c>
      <c r="B32" s="26" t="n">
        <f aca="false">PlanDate-89</f>
        <v>46222</v>
      </c>
      <c r="C32" s="25" t="n">
        <v>39</v>
      </c>
    </row>
    <row r="33" customFormat="false" ht="15" hidden="false" customHeight="false" outlineLevel="0" collapsed="false">
      <c r="A33" s="25" t="s">
        <v>106</v>
      </c>
      <c r="B33" s="26" t="n">
        <f aca="false">PlanDate-87</f>
        <v>46224</v>
      </c>
      <c r="C33" s="25" t="n">
        <v>44</v>
      </c>
    </row>
    <row r="34" customFormat="false" ht="15" hidden="false" customHeight="false" outlineLevel="0" collapsed="false">
      <c r="A34" s="25" t="s">
        <v>106</v>
      </c>
      <c r="B34" s="26" t="n">
        <f aca="false">PlanDate-86</f>
        <v>46225</v>
      </c>
      <c r="C34" s="25" t="n">
        <v>38</v>
      </c>
    </row>
    <row r="35" customFormat="false" ht="15" hidden="false" customHeight="false" outlineLevel="0" collapsed="false">
      <c r="A35" s="25" t="s">
        <v>106</v>
      </c>
      <c r="B35" s="26" t="n">
        <f aca="false">PlanDate-85</f>
        <v>46226</v>
      </c>
      <c r="C35" s="25" t="n">
        <v>29</v>
      </c>
    </row>
    <row r="36" customFormat="false" ht="15" hidden="false" customHeight="false" outlineLevel="0" collapsed="false">
      <c r="A36" s="25" t="s">
        <v>106</v>
      </c>
      <c r="B36" s="26" t="n">
        <f aca="false">PlanDate-84</f>
        <v>46227</v>
      </c>
      <c r="C36" s="25" t="n">
        <v>31</v>
      </c>
    </row>
    <row r="37" customFormat="false" ht="15" hidden="false" customHeight="false" outlineLevel="0" collapsed="false">
      <c r="A37" s="25" t="s">
        <v>106</v>
      </c>
      <c r="B37" s="26" t="n">
        <f aca="false">PlanDate-83</f>
        <v>46228</v>
      </c>
      <c r="C37" s="25" t="n">
        <v>48</v>
      </c>
    </row>
    <row r="38" customFormat="false" ht="15" hidden="false" customHeight="false" outlineLevel="0" collapsed="false">
      <c r="A38" s="25" t="s">
        <v>106</v>
      </c>
      <c r="B38" s="26" t="n">
        <f aca="false">PlanDate-82</f>
        <v>46229</v>
      </c>
      <c r="C38" s="25" t="n">
        <v>45</v>
      </c>
    </row>
    <row r="39" customFormat="false" ht="15" hidden="false" customHeight="false" outlineLevel="0" collapsed="false">
      <c r="A39" s="25" t="s">
        <v>106</v>
      </c>
      <c r="B39" s="26" t="n">
        <f aca="false">PlanDate-81</f>
        <v>46230</v>
      </c>
      <c r="C39" s="25" t="n">
        <v>33</v>
      </c>
    </row>
    <row r="40" customFormat="false" ht="15" hidden="false" customHeight="false" outlineLevel="0" collapsed="false">
      <c r="A40" s="25" t="s">
        <v>106</v>
      </c>
      <c r="B40" s="26" t="n">
        <f aca="false">PlanDate-79</f>
        <v>46232</v>
      </c>
      <c r="C40" s="25" t="n">
        <v>39</v>
      </c>
    </row>
    <row r="41" customFormat="false" ht="15" hidden="false" customHeight="false" outlineLevel="0" collapsed="false">
      <c r="A41" s="25" t="s">
        <v>106</v>
      </c>
      <c r="B41" s="26" t="n">
        <f aca="false">PlanDate-78</f>
        <v>46233</v>
      </c>
      <c r="C41" s="25" t="n">
        <v>37</v>
      </c>
    </row>
    <row r="42" customFormat="false" ht="15" hidden="false" customHeight="false" outlineLevel="0" collapsed="false">
      <c r="A42" s="25" t="s">
        <v>106</v>
      </c>
      <c r="B42" s="26" t="n">
        <f aca="false">PlanDate-77</f>
        <v>46234</v>
      </c>
      <c r="C42" s="25" t="n">
        <v>44</v>
      </c>
    </row>
    <row r="43" customFormat="false" ht="15" hidden="false" customHeight="false" outlineLevel="0" collapsed="false">
      <c r="A43" s="25" t="s">
        <v>106</v>
      </c>
      <c r="B43" s="26" t="n">
        <f aca="false">PlanDate-76</f>
        <v>46235</v>
      </c>
      <c r="C43" s="25" t="n">
        <v>46</v>
      </c>
    </row>
    <row r="44" customFormat="false" ht="15" hidden="false" customHeight="false" outlineLevel="0" collapsed="false">
      <c r="A44" s="25" t="s">
        <v>106</v>
      </c>
      <c r="B44" s="26" t="n">
        <f aca="false">PlanDate-74</f>
        <v>46237</v>
      </c>
      <c r="C44" s="25" t="n">
        <v>29</v>
      </c>
    </row>
    <row r="45" customFormat="false" ht="15" hidden="false" customHeight="false" outlineLevel="0" collapsed="false">
      <c r="A45" s="25" t="s">
        <v>106</v>
      </c>
      <c r="B45" s="26" t="n">
        <f aca="false">PlanDate-73</f>
        <v>46238</v>
      </c>
      <c r="C45" s="25" t="n">
        <v>43</v>
      </c>
    </row>
    <row r="46" customFormat="false" ht="15" hidden="false" customHeight="false" outlineLevel="0" collapsed="false">
      <c r="A46" s="25" t="s">
        <v>106</v>
      </c>
      <c r="B46" s="26" t="n">
        <f aca="false">PlanDate-72</f>
        <v>46239</v>
      </c>
      <c r="C46" s="25" t="n">
        <v>36</v>
      </c>
    </row>
    <row r="47" customFormat="false" ht="15" hidden="false" customHeight="false" outlineLevel="0" collapsed="false">
      <c r="A47" s="25" t="s">
        <v>106</v>
      </c>
      <c r="B47" s="26" t="n">
        <f aca="false">PlanDate-70</f>
        <v>46241</v>
      </c>
      <c r="C47" s="25" t="n">
        <v>32</v>
      </c>
    </row>
    <row r="48" customFormat="false" ht="15" hidden="false" customHeight="false" outlineLevel="0" collapsed="false">
      <c r="A48" s="25" t="s">
        <v>106</v>
      </c>
      <c r="B48" s="26" t="n">
        <f aca="false">PlanDate-69</f>
        <v>46242</v>
      </c>
      <c r="C48" s="25" t="n">
        <v>29</v>
      </c>
    </row>
    <row r="49" customFormat="false" ht="15" hidden="false" customHeight="false" outlineLevel="0" collapsed="false">
      <c r="A49" s="25" t="s">
        <v>106</v>
      </c>
      <c r="B49" s="26" t="n">
        <f aca="false">PlanDate-68</f>
        <v>46243</v>
      </c>
      <c r="C49" s="25" t="n">
        <v>33</v>
      </c>
    </row>
    <row r="50" customFormat="false" ht="15" hidden="false" customHeight="false" outlineLevel="0" collapsed="false">
      <c r="A50" s="25" t="s">
        <v>106</v>
      </c>
      <c r="B50" s="26" t="n">
        <f aca="false">PlanDate-67</f>
        <v>46244</v>
      </c>
      <c r="C50" s="25" t="n">
        <v>49</v>
      </c>
    </row>
    <row r="51" customFormat="false" ht="15" hidden="false" customHeight="false" outlineLevel="0" collapsed="false">
      <c r="A51" s="25" t="s">
        <v>106</v>
      </c>
      <c r="B51" s="26" t="n">
        <f aca="false">PlanDate-66</f>
        <v>46245</v>
      </c>
      <c r="C51" s="25" t="n">
        <v>35</v>
      </c>
    </row>
    <row r="52" customFormat="false" ht="15" hidden="false" customHeight="false" outlineLevel="0" collapsed="false">
      <c r="A52" s="25" t="s">
        <v>106</v>
      </c>
      <c r="B52" s="26" t="n">
        <f aca="false">PlanDate-65</f>
        <v>46246</v>
      </c>
      <c r="C52" s="25" t="n">
        <v>29</v>
      </c>
    </row>
    <row r="53" customFormat="false" ht="15" hidden="false" customHeight="false" outlineLevel="0" collapsed="false">
      <c r="A53" s="25" t="s">
        <v>106</v>
      </c>
      <c r="B53" s="26" t="n">
        <f aca="false">PlanDate-64</f>
        <v>46247</v>
      </c>
      <c r="C53" s="25" t="n">
        <v>41</v>
      </c>
    </row>
    <row r="54" customFormat="false" ht="15" hidden="false" customHeight="false" outlineLevel="0" collapsed="false">
      <c r="A54" s="25" t="s">
        <v>106</v>
      </c>
      <c r="B54" s="26" t="n">
        <f aca="false">PlanDate-62</f>
        <v>46249</v>
      </c>
      <c r="C54" s="25" t="n">
        <v>31</v>
      </c>
    </row>
    <row r="55" customFormat="false" ht="15" hidden="false" customHeight="false" outlineLevel="0" collapsed="false">
      <c r="A55" s="25" t="s">
        <v>106</v>
      </c>
      <c r="B55" s="26" t="n">
        <f aca="false">PlanDate-61</f>
        <v>46250</v>
      </c>
      <c r="C55" s="25" t="n">
        <v>30</v>
      </c>
    </row>
    <row r="56" customFormat="false" ht="15" hidden="false" customHeight="false" outlineLevel="0" collapsed="false">
      <c r="A56" s="25" t="s">
        <v>106</v>
      </c>
      <c r="B56" s="26" t="n">
        <f aca="false">PlanDate-60</f>
        <v>46251</v>
      </c>
      <c r="C56" s="25" t="n">
        <v>28</v>
      </c>
    </row>
    <row r="57" customFormat="false" ht="15" hidden="false" customHeight="false" outlineLevel="0" collapsed="false">
      <c r="A57" s="25" t="s">
        <v>106</v>
      </c>
      <c r="B57" s="26" t="n">
        <f aca="false">PlanDate-59</f>
        <v>46252</v>
      </c>
      <c r="C57" s="25" t="n">
        <v>42</v>
      </c>
    </row>
    <row r="58" customFormat="false" ht="15" hidden="false" customHeight="false" outlineLevel="0" collapsed="false">
      <c r="A58" s="25" t="s">
        <v>106</v>
      </c>
      <c r="B58" s="26" t="n">
        <f aca="false">PlanDate-58</f>
        <v>46253</v>
      </c>
      <c r="C58" s="25" t="n">
        <v>33</v>
      </c>
    </row>
    <row r="59" customFormat="false" ht="15" hidden="false" customHeight="false" outlineLevel="0" collapsed="false">
      <c r="A59" s="25" t="s">
        <v>106</v>
      </c>
      <c r="B59" s="26" t="n">
        <f aca="false">PlanDate-57</f>
        <v>46254</v>
      </c>
      <c r="C59" s="25" t="n">
        <v>35</v>
      </c>
    </row>
    <row r="60" customFormat="false" ht="15" hidden="false" customHeight="false" outlineLevel="0" collapsed="false">
      <c r="A60" s="25" t="s">
        <v>106</v>
      </c>
      <c r="B60" s="26" t="n">
        <f aca="false">PlanDate-56</f>
        <v>46255</v>
      </c>
      <c r="C60" s="25" t="n">
        <v>44</v>
      </c>
    </row>
    <row r="61" customFormat="false" ht="15" hidden="false" customHeight="false" outlineLevel="0" collapsed="false">
      <c r="A61" s="25" t="s">
        <v>106</v>
      </c>
      <c r="B61" s="26" t="n">
        <f aca="false">PlanDate-55</f>
        <v>46256</v>
      </c>
      <c r="C61" s="25" t="n">
        <v>45</v>
      </c>
    </row>
    <row r="62" customFormat="false" ht="15" hidden="false" customHeight="false" outlineLevel="0" collapsed="false">
      <c r="A62" s="25" t="s">
        <v>106</v>
      </c>
      <c r="B62" s="26" t="n">
        <f aca="false">PlanDate-54</f>
        <v>46257</v>
      </c>
      <c r="C62" s="25" t="n">
        <v>49</v>
      </c>
    </row>
    <row r="63" customFormat="false" ht="15" hidden="false" customHeight="false" outlineLevel="0" collapsed="false">
      <c r="A63" s="25" t="s">
        <v>106</v>
      </c>
      <c r="B63" s="26" t="n">
        <f aca="false">PlanDate-53</f>
        <v>46258</v>
      </c>
      <c r="C63" s="25" t="n">
        <v>36</v>
      </c>
    </row>
    <row r="64" customFormat="false" ht="15" hidden="false" customHeight="false" outlineLevel="0" collapsed="false">
      <c r="A64" s="25" t="s">
        <v>106</v>
      </c>
      <c r="B64" s="26" t="n">
        <f aca="false">PlanDate-52</f>
        <v>46259</v>
      </c>
      <c r="C64" s="25" t="n">
        <v>35</v>
      </c>
    </row>
    <row r="65" customFormat="false" ht="15" hidden="false" customHeight="false" outlineLevel="0" collapsed="false">
      <c r="A65" s="25" t="s">
        <v>106</v>
      </c>
      <c r="B65" s="26" t="n">
        <f aca="false">PlanDate-51</f>
        <v>46260</v>
      </c>
      <c r="C65" s="25" t="n">
        <v>45</v>
      </c>
    </row>
    <row r="66" customFormat="false" ht="15" hidden="false" customHeight="false" outlineLevel="0" collapsed="false">
      <c r="A66" s="25" t="s">
        <v>106</v>
      </c>
      <c r="B66" s="26" t="n">
        <f aca="false">PlanDate-50</f>
        <v>46261</v>
      </c>
      <c r="C66" s="25" t="n">
        <v>41</v>
      </c>
    </row>
    <row r="67" customFormat="false" ht="15" hidden="false" customHeight="false" outlineLevel="0" collapsed="false">
      <c r="A67" s="25" t="s">
        <v>106</v>
      </c>
      <c r="B67" s="26" t="n">
        <f aca="false">PlanDate-49</f>
        <v>46262</v>
      </c>
      <c r="C67" s="25" t="n">
        <v>34</v>
      </c>
    </row>
    <row r="68" customFormat="false" ht="15" hidden="false" customHeight="false" outlineLevel="0" collapsed="false">
      <c r="A68" s="25" t="s">
        <v>106</v>
      </c>
      <c r="B68" s="26" t="n">
        <f aca="false">PlanDate-48</f>
        <v>46263</v>
      </c>
      <c r="C68" s="25" t="n">
        <v>48</v>
      </c>
    </row>
    <row r="69" customFormat="false" ht="15" hidden="false" customHeight="false" outlineLevel="0" collapsed="false">
      <c r="A69" s="25" t="s">
        <v>106</v>
      </c>
      <c r="B69" s="26" t="n">
        <f aca="false">PlanDate-47</f>
        <v>46264</v>
      </c>
      <c r="C69" s="25" t="n">
        <v>29</v>
      </c>
    </row>
    <row r="70" customFormat="false" ht="15" hidden="false" customHeight="false" outlineLevel="0" collapsed="false">
      <c r="A70" s="25" t="s">
        <v>106</v>
      </c>
      <c r="B70" s="26" t="n">
        <f aca="false">PlanDate-46</f>
        <v>46265</v>
      </c>
      <c r="C70" s="25" t="n">
        <v>43</v>
      </c>
    </row>
    <row r="71" customFormat="false" ht="15" hidden="false" customHeight="false" outlineLevel="0" collapsed="false">
      <c r="A71" s="25" t="s">
        <v>106</v>
      </c>
      <c r="B71" s="26" t="n">
        <f aca="false">PlanDate-45</f>
        <v>46266</v>
      </c>
      <c r="C71" s="25" t="n">
        <v>45</v>
      </c>
    </row>
    <row r="72" customFormat="false" ht="15" hidden="false" customHeight="false" outlineLevel="0" collapsed="false">
      <c r="A72" s="25" t="s">
        <v>106</v>
      </c>
      <c r="B72" s="26" t="n">
        <f aca="false">PlanDate-44</f>
        <v>46267</v>
      </c>
      <c r="C72" s="25" t="n">
        <v>46</v>
      </c>
    </row>
    <row r="73" customFormat="false" ht="15" hidden="false" customHeight="false" outlineLevel="0" collapsed="false">
      <c r="A73" s="25" t="s">
        <v>106</v>
      </c>
      <c r="B73" s="26" t="n">
        <f aca="false">PlanDate-43</f>
        <v>46268</v>
      </c>
      <c r="C73" s="25" t="n">
        <v>46</v>
      </c>
    </row>
    <row r="74" customFormat="false" ht="15" hidden="false" customHeight="false" outlineLevel="0" collapsed="false">
      <c r="A74" s="25" t="s">
        <v>106</v>
      </c>
      <c r="B74" s="26" t="n">
        <f aca="false">PlanDate-42</f>
        <v>46269</v>
      </c>
      <c r="C74" s="25" t="n">
        <v>44</v>
      </c>
    </row>
    <row r="75" customFormat="false" ht="15" hidden="false" customHeight="false" outlineLevel="0" collapsed="false">
      <c r="A75" s="25" t="s">
        <v>106</v>
      </c>
      <c r="B75" s="26" t="n">
        <f aca="false">PlanDate-41</f>
        <v>46270</v>
      </c>
      <c r="C75" s="25" t="n">
        <v>42</v>
      </c>
    </row>
    <row r="76" customFormat="false" ht="15" hidden="false" customHeight="false" outlineLevel="0" collapsed="false">
      <c r="A76" s="25" t="s">
        <v>106</v>
      </c>
      <c r="B76" s="26" t="n">
        <f aca="false">PlanDate-40</f>
        <v>46271</v>
      </c>
      <c r="C76" s="25" t="n">
        <v>33</v>
      </c>
    </row>
    <row r="77" customFormat="false" ht="15" hidden="false" customHeight="false" outlineLevel="0" collapsed="false">
      <c r="A77" s="25" t="s">
        <v>106</v>
      </c>
      <c r="B77" s="26" t="n">
        <f aca="false">PlanDate-39</f>
        <v>46272</v>
      </c>
      <c r="C77" s="25" t="n">
        <v>42</v>
      </c>
    </row>
    <row r="78" customFormat="false" ht="15" hidden="false" customHeight="false" outlineLevel="0" collapsed="false">
      <c r="A78" s="25" t="s">
        <v>106</v>
      </c>
      <c r="B78" s="26" t="n">
        <f aca="false">PlanDate-38</f>
        <v>46273</v>
      </c>
      <c r="C78" s="25" t="n">
        <v>32</v>
      </c>
    </row>
    <row r="79" customFormat="false" ht="15" hidden="false" customHeight="false" outlineLevel="0" collapsed="false">
      <c r="A79" s="25" t="s">
        <v>106</v>
      </c>
      <c r="B79" s="26" t="n">
        <f aca="false">PlanDate-37</f>
        <v>46274</v>
      </c>
      <c r="C79" s="25" t="n">
        <v>32</v>
      </c>
    </row>
    <row r="80" customFormat="false" ht="15" hidden="false" customHeight="false" outlineLevel="0" collapsed="false">
      <c r="A80" s="25" t="s">
        <v>106</v>
      </c>
      <c r="B80" s="26" t="n">
        <f aca="false">PlanDate-36</f>
        <v>46275</v>
      </c>
      <c r="C80" s="25" t="n">
        <v>46</v>
      </c>
    </row>
    <row r="81" customFormat="false" ht="15" hidden="false" customHeight="false" outlineLevel="0" collapsed="false">
      <c r="A81" s="25" t="s">
        <v>106</v>
      </c>
      <c r="B81" s="26" t="n">
        <f aca="false">PlanDate-35</f>
        <v>46276</v>
      </c>
      <c r="C81" s="25" t="n">
        <v>45</v>
      </c>
    </row>
    <row r="82" customFormat="false" ht="15" hidden="false" customHeight="false" outlineLevel="0" collapsed="false">
      <c r="A82" s="25" t="s">
        <v>106</v>
      </c>
      <c r="B82" s="26" t="n">
        <f aca="false">PlanDate-34</f>
        <v>46277</v>
      </c>
      <c r="C82" s="25" t="n">
        <v>31</v>
      </c>
    </row>
    <row r="83" customFormat="false" ht="15" hidden="false" customHeight="false" outlineLevel="0" collapsed="false">
      <c r="A83" s="25" t="s">
        <v>106</v>
      </c>
      <c r="B83" s="26" t="n">
        <f aca="false">PlanDate-33</f>
        <v>46278</v>
      </c>
      <c r="C83" s="25" t="n">
        <v>48</v>
      </c>
    </row>
    <row r="84" customFormat="false" ht="15" hidden="false" customHeight="false" outlineLevel="0" collapsed="false">
      <c r="A84" s="25" t="s">
        <v>106</v>
      </c>
      <c r="B84" s="26" t="n">
        <f aca="false">PlanDate-32</f>
        <v>46279</v>
      </c>
      <c r="C84" s="25" t="n">
        <v>38</v>
      </c>
    </row>
    <row r="85" customFormat="false" ht="15" hidden="false" customHeight="false" outlineLevel="0" collapsed="false">
      <c r="A85" s="25" t="s">
        <v>106</v>
      </c>
      <c r="B85" s="26" t="n">
        <f aca="false">PlanDate-31</f>
        <v>46280</v>
      </c>
      <c r="C85" s="25" t="n">
        <v>31</v>
      </c>
    </row>
    <row r="86" customFormat="false" ht="15" hidden="false" customHeight="false" outlineLevel="0" collapsed="false">
      <c r="A86" s="25" t="s">
        <v>106</v>
      </c>
      <c r="B86" s="26" t="n">
        <f aca="false">PlanDate-30</f>
        <v>46281</v>
      </c>
      <c r="C86" s="25" t="n">
        <v>48</v>
      </c>
    </row>
    <row r="87" customFormat="false" ht="15" hidden="false" customHeight="false" outlineLevel="0" collapsed="false">
      <c r="A87" s="25" t="s">
        <v>106</v>
      </c>
      <c r="B87" s="26" t="n">
        <f aca="false">PlanDate-29</f>
        <v>46282</v>
      </c>
      <c r="C87" s="25" t="n">
        <v>40</v>
      </c>
    </row>
    <row r="88" customFormat="false" ht="15" hidden="false" customHeight="false" outlineLevel="0" collapsed="false">
      <c r="A88" s="25" t="s">
        <v>106</v>
      </c>
      <c r="B88" s="26" t="n">
        <f aca="false">PlanDate-28</f>
        <v>46283</v>
      </c>
      <c r="C88" s="25" t="n">
        <v>39</v>
      </c>
    </row>
    <row r="89" customFormat="false" ht="15" hidden="false" customHeight="false" outlineLevel="0" collapsed="false">
      <c r="A89" s="25" t="s">
        <v>106</v>
      </c>
      <c r="B89" s="26" t="n">
        <f aca="false">PlanDate-27</f>
        <v>46284</v>
      </c>
      <c r="C89" s="25" t="n">
        <v>33</v>
      </c>
    </row>
    <row r="90" customFormat="false" ht="15" hidden="false" customHeight="false" outlineLevel="0" collapsed="false">
      <c r="A90" s="25" t="s">
        <v>106</v>
      </c>
      <c r="B90" s="26" t="n">
        <f aca="false">PlanDate-26</f>
        <v>46285</v>
      </c>
      <c r="C90" s="25" t="n">
        <v>40</v>
      </c>
    </row>
    <row r="91" customFormat="false" ht="15" hidden="false" customHeight="false" outlineLevel="0" collapsed="false">
      <c r="A91" s="25" t="s">
        <v>106</v>
      </c>
      <c r="B91" s="26" t="n">
        <f aca="false">PlanDate-25</f>
        <v>46286</v>
      </c>
      <c r="C91" s="25" t="n">
        <v>34</v>
      </c>
    </row>
    <row r="92" customFormat="false" ht="15" hidden="false" customHeight="false" outlineLevel="0" collapsed="false">
      <c r="A92" s="25" t="s">
        <v>106</v>
      </c>
      <c r="B92" s="26" t="n">
        <f aca="false">PlanDate-24</f>
        <v>46287</v>
      </c>
      <c r="C92" s="25" t="n">
        <v>48</v>
      </c>
    </row>
    <row r="93" customFormat="false" ht="15" hidden="false" customHeight="false" outlineLevel="0" collapsed="false">
      <c r="A93" s="25" t="s">
        <v>106</v>
      </c>
      <c r="B93" s="26" t="n">
        <f aca="false">PlanDate-23</f>
        <v>46288</v>
      </c>
      <c r="C93" s="25" t="n">
        <v>38</v>
      </c>
    </row>
    <row r="94" customFormat="false" ht="15" hidden="false" customHeight="false" outlineLevel="0" collapsed="false">
      <c r="A94" s="25" t="s">
        <v>106</v>
      </c>
      <c r="B94" s="26" t="n">
        <f aca="false">PlanDate-22</f>
        <v>46289</v>
      </c>
      <c r="C94" s="25" t="n">
        <v>40</v>
      </c>
    </row>
    <row r="95" customFormat="false" ht="15" hidden="false" customHeight="false" outlineLevel="0" collapsed="false">
      <c r="A95" s="25" t="s">
        <v>106</v>
      </c>
      <c r="B95" s="26" t="n">
        <f aca="false">PlanDate-21</f>
        <v>46290</v>
      </c>
      <c r="C95" s="25" t="n">
        <v>28</v>
      </c>
    </row>
    <row r="96" customFormat="false" ht="15" hidden="false" customHeight="false" outlineLevel="0" collapsed="false">
      <c r="A96" s="25" t="s">
        <v>106</v>
      </c>
      <c r="B96" s="26" t="n">
        <f aca="false">PlanDate-20</f>
        <v>46291</v>
      </c>
      <c r="C96" s="25" t="n">
        <v>47</v>
      </c>
    </row>
    <row r="97" customFormat="false" ht="15" hidden="false" customHeight="false" outlineLevel="0" collapsed="false">
      <c r="A97" s="25" t="s">
        <v>106</v>
      </c>
      <c r="B97" s="26" t="n">
        <f aca="false">PlanDate-19</f>
        <v>46292</v>
      </c>
      <c r="C97" s="25" t="n">
        <v>52</v>
      </c>
    </row>
    <row r="98" customFormat="false" ht="15" hidden="false" customHeight="false" outlineLevel="0" collapsed="false">
      <c r="A98" s="25" t="s">
        <v>106</v>
      </c>
      <c r="B98" s="26" t="n">
        <f aca="false">PlanDate-18</f>
        <v>46293</v>
      </c>
      <c r="C98" s="25" t="n">
        <v>44</v>
      </c>
    </row>
    <row r="99" customFormat="false" ht="15" hidden="false" customHeight="false" outlineLevel="0" collapsed="false">
      <c r="A99" s="25" t="s">
        <v>106</v>
      </c>
      <c r="B99" s="26" t="n">
        <f aca="false">PlanDate-17</f>
        <v>46294</v>
      </c>
      <c r="C99" s="25" t="n">
        <v>35</v>
      </c>
    </row>
    <row r="100" customFormat="false" ht="15" hidden="false" customHeight="false" outlineLevel="0" collapsed="false">
      <c r="A100" s="25" t="s">
        <v>106</v>
      </c>
      <c r="B100" s="26" t="n">
        <f aca="false">PlanDate-16</f>
        <v>46295</v>
      </c>
      <c r="C100" s="25" t="n">
        <v>43</v>
      </c>
    </row>
    <row r="101" customFormat="false" ht="15" hidden="false" customHeight="false" outlineLevel="0" collapsed="false">
      <c r="A101" s="25" t="s">
        <v>106</v>
      </c>
      <c r="B101" s="26" t="n">
        <f aca="false">PlanDate-15</f>
        <v>46296</v>
      </c>
      <c r="C101" s="25" t="n">
        <v>44</v>
      </c>
    </row>
    <row r="102" customFormat="false" ht="15" hidden="false" customHeight="false" outlineLevel="0" collapsed="false">
      <c r="A102" s="25" t="s">
        <v>106</v>
      </c>
      <c r="B102" s="26" t="n">
        <f aca="false">PlanDate-14</f>
        <v>46297</v>
      </c>
      <c r="C102" s="25" t="n">
        <v>50</v>
      </c>
    </row>
    <row r="103" customFormat="false" ht="15" hidden="false" customHeight="false" outlineLevel="0" collapsed="false">
      <c r="A103" s="25" t="s">
        <v>106</v>
      </c>
      <c r="B103" s="26" t="n">
        <f aca="false">PlanDate-13</f>
        <v>46298</v>
      </c>
      <c r="C103" s="25" t="n">
        <v>50</v>
      </c>
    </row>
    <row r="104" customFormat="false" ht="15" hidden="false" customHeight="false" outlineLevel="0" collapsed="false">
      <c r="A104" s="25" t="s">
        <v>106</v>
      </c>
      <c r="B104" s="26" t="n">
        <f aca="false">PlanDate-12</f>
        <v>46299</v>
      </c>
      <c r="C104" s="25" t="n">
        <v>39</v>
      </c>
    </row>
    <row r="105" customFormat="false" ht="15" hidden="false" customHeight="false" outlineLevel="0" collapsed="false">
      <c r="A105" s="25" t="s">
        <v>106</v>
      </c>
      <c r="B105" s="26" t="n">
        <f aca="false">PlanDate-11</f>
        <v>46300</v>
      </c>
      <c r="C105" s="25" t="n">
        <v>44</v>
      </c>
    </row>
    <row r="106" customFormat="false" ht="15" hidden="false" customHeight="false" outlineLevel="0" collapsed="false">
      <c r="A106" s="25" t="s">
        <v>106</v>
      </c>
      <c r="B106" s="26" t="n">
        <f aca="false">PlanDate-10</f>
        <v>46301</v>
      </c>
      <c r="C106" s="25" t="n">
        <v>44</v>
      </c>
    </row>
    <row r="107" customFormat="false" ht="15" hidden="false" customHeight="false" outlineLevel="0" collapsed="false">
      <c r="A107" s="25" t="s">
        <v>106</v>
      </c>
      <c r="B107" s="26" t="n">
        <f aca="false">PlanDate-9</f>
        <v>46302</v>
      </c>
      <c r="C107" s="25" t="n">
        <v>30</v>
      </c>
    </row>
    <row r="108" customFormat="false" ht="15" hidden="false" customHeight="false" outlineLevel="0" collapsed="false">
      <c r="A108" s="25" t="s">
        <v>106</v>
      </c>
      <c r="B108" s="26" t="n">
        <f aca="false">PlanDate-8</f>
        <v>46303</v>
      </c>
      <c r="C108" s="25" t="n">
        <v>51</v>
      </c>
    </row>
    <row r="109" customFormat="false" ht="15" hidden="false" customHeight="false" outlineLevel="0" collapsed="false">
      <c r="A109" s="25" t="s">
        <v>106</v>
      </c>
      <c r="B109" s="26" t="n">
        <f aca="false">PlanDate-7</f>
        <v>46304</v>
      </c>
      <c r="C109" s="25" t="n">
        <v>33</v>
      </c>
    </row>
    <row r="110" customFormat="false" ht="15" hidden="false" customHeight="false" outlineLevel="0" collapsed="false">
      <c r="A110" s="25" t="s">
        <v>106</v>
      </c>
      <c r="B110" s="26" t="n">
        <f aca="false">PlanDate-6</f>
        <v>46305</v>
      </c>
      <c r="C110" s="25" t="n">
        <v>40</v>
      </c>
    </row>
    <row r="111" customFormat="false" ht="15" hidden="false" customHeight="false" outlineLevel="0" collapsed="false">
      <c r="A111" s="25" t="s">
        <v>106</v>
      </c>
      <c r="B111" s="26" t="n">
        <f aca="false">PlanDate-5</f>
        <v>46306</v>
      </c>
      <c r="C111" s="25" t="n">
        <v>28</v>
      </c>
    </row>
    <row r="112" customFormat="false" ht="15" hidden="false" customHeight="false" outlineLevel="0" collapsed="false">
      <c r="A112" s="25" t="s">
        <v>106</v>
      </c>
      <c r="B112" s="26" t="n">
        <f aca="false">PlanDate-4</f>
        <v>46307</v>
      </c>
      <c r="C112" s="25" t="n">
        <v>33</v>
      </c>
    </row>
    <row r="113" customFormat="false" ht="15" hidden="false" customHeight="false" outlineLevel="0" collapsed="false">
      <c r="A113" s="25" t="s">
        <v>106</v>
      </c>
      <c r="B113" s="26" t="n">
        <f aca="false">PlanDate-2</f>
        <v>46309</v>
      </c>
      <c r="C113" s="25" t="n">
        <v>42</v>
      </c>
    </row>
    <row r="114" customFormat="false" ht="15" hidden="false" customHeight="false" outlineLevel="0" collapsed="false">
      <c r="A114" s="25" t="s">
        <v>106</v>
      </c>
      <c r="B114" s="26" t="n">
        <f aca="false">PlanDate-1</f>
        <v>46310</v>
      </c>
      <c r="C114" s="25" t="n">
        <v>39</v>
      </c>
    </row>
    <row r="115" customFormat="false" ht="15" hidden="false" customHeight="false" outlineLevel="0" collapsed="false">
      <c r="A115" s="25" t="s">
        <v>108</v>
      </c>
      <c r="B115" s="26" t="n">
        <f aca="false">PlanDate-120</f>
        <v>46191</v>
      </c>
      <c r="C115" s="25" t="n">
        <v>16</v>
      </c>
    </row>
    <row r="116" customFormat="false" ht="15" hidden="false" customHeight="false" outlineLevel="0" collapsed="false">
      <c r="A116" s="25" t="s">
        <v>108</v>
      </c>
      <c r="B116" s="26" t="n">
        <f aca="false">PlanDate-119</f>
        <v>46192</v>
      </c>
      <c r="C116" s="25" t="n">
        <v>9</v>
      </c>
    </row>
    <row r="117" customFormat="false" ht="15" hidden="false" customHeight="false" outlineLevel="0" collapsed="false">
      <c r="A117" s="25" t="s">
        <v>108</v>
      </c>
      <c r="B117" s="26" t="n">
        <f aca="false">PlanDate-118</f>
        <v>46193</v>
      </c>
      <c r="C117" s="25" t="n">
        <v>18</v>
      </c>
    </row>
    <row r="118" customFormat="false" ht="15" hidden="false" customHeight="false" outlineLevel="0" collapsed="false">
      <c r="A118" s="25" t="s">
        <v>108</v>
      </c>
      <c r="B118" s="26" t="n">
        <f aca="false">PlanDate-117</f>
        <v>46194</v>
      </c>
      <c r="C118" s="25" t="n">
        <v>10</v>
      </c>
    </row>
    <row r="119" customFormat="false" ht="15" hidden="false" customHeight="false" outlineLevel="0" collapsed="false">
      <c r="A119" s="25" t="s">
        <v>108</v>
      </c>
      <c r="B119" s="26" t="n">
        <f aca="false">PlanDate-116</f>
        <v>46195</v>
      </c>
      <c r="C119" s="25" t="n">
        <v>16</v>
      </c>
    </row>
    <row r="120" customFormat="false" ht="15" hidden="false" customHeight="false" outlineLevel="0" collapsed="false">
      <c r="A120" s="25" t="s">
        <v>108</v>
      </c>
      <c r="B120" s="26" t="n">
        <f aca="false">PlanDate-115</f>
        <v>46196</v>
      </c>
      <c r="C120" s="25" t="n">
        <v>18</v>
      </c>
    </row>
    <row r="121" customFormat="false" ht="15" hidden="false" customHeight="false" outlineLevel="0" collapsed="false">
      <c r="A121" s="25" t="s">
        <v>108</v>
      </c>
      <c r="B121" s="26" t="n">
        <f aca="false">PlanDate-114</f>
        <v>46197</v>
      </c>
      <c r="C121" s="25" t="n">
        <v>14</v>
      </c>
    </row>
    <row r="122" customFormat="false" ht="15" hidden="false" customHeight="false" outlineLevel="0" collapsed="false">
      <c r="A122" s="25" t="s">
        <v>108</v>
      </c>
      <c r="B122" s="26" t="n">
        <f aca="false">PlanDate-113</f>
        <v>46198</v>
      </c>
      <c r="C122" s="25" t="n">
        <v>9</v>
      </c>
    </row>
    <row r="123" customFormat="false" ht="15" hidden="false" customHeight="false" outlineLevel="0" collapsed="false">
      <c r="A123" s="25" t="s">
        <v>108</v>
      </c>
      <c r="B123" s="26" t="n">
        <f aca="false">PlanDate-112</f>
        <v>46199</v>
      </c>
      <c r="C123" s="25" t="n">
        <v>17</v>
      </c>
    </row>
    <row r="124" customFormat="false" ht="15" hidden="false" customHeight="false" outlineLevel="0" collapsed="false">
      <c r="A124" s="25" t="s">
        <v>108</v>
      </c>
      <c r="B124" s="26" t="n">
        <f aca="false">PlanDate-111</f>
        <v>46200</v>
      </c>
      <c r="C124" s="25" t="n">
        <v>14</v>
      </c>
    </row>
    <row r="125" customFormat="false" ht="15" hidden="false" customHeight="false" outlineLevel="0" collapsed="false">
      <c r="A125" s="25" t="s">
        <v>108</v>
      </c>
      <c r="B125" s="26" t="n">
        <f aca="false">PlanDate-110</f>
        <v>46201</v>
      </c>
      <c r="C125" s="25" t="n">
        <v>10</v>
      </c>
    </row>
    <row r="126" customFormat="false" ht="15" hidden="false" customHeight="false" outlineLevel="0" collapsed="false">
      <c r="A126" s="25" t="s">
        <v>108</v>
      </c>
      <c r="B126" s="26" t="n">
        <f aca="false">PlanDate-108</f>
        <v>46203</v>
      </c>
      <c r="C126" s="25" t="n">
        <v>10</v>
      </c>
    </row>
    <row r="127" customFormat="false" ht="15" hidden="false" customHeight="false" outlineLevel="0" collapsed="false">
      <c r="A127" s="25" t="s">
        <v>108</v>
      </c>
      <c r="B127" s="26" t="n">
        <f aca="false">PlanDate-107</f>
        <v>46204</v>
      </c>
      <c r="C127" s="25" t="n">
        <v>12</v>
      </c>
    </row>
    <row r="128" customFormat="false" ht="15" hidden="false" customHeight="false" outlineLevel="0" collapsed="false">
      <c r="A128" s="25" t="s">
        <v>108</v>
      </c>
      <c r="B128" s="26" t="n">
        <f aca="false">PlanDate-106</f>
        <v>46205</v>
      </c>
      <c r="C128" s="25" t="n">
        <v>14</v>
      </c>
    </row>
    <row r="129" customFormat="false" ht="15" hidden="false" customHeight="false" outlineLevel="0" collapsed="false">
      <c r="A129" s="25" t="s">
        <v>108</v>
      </c>
      <c r="B129" s="26" t="n">
        <f aca="false">PlanDate-104</f>
        <v>46207</v>
      </c>
      <c r="C129" s="25" t="n">
        <v>18</v>
      </c>
    </row>
    <row r="130" customFormat="false" ht="15" hidden="false" customHeight="false" outlineLevel="0" collapsed="false">
      <c r="A130" s="25" t="s">
        <v>108</v>
      </c>
      <c r="B130" s="26" t="n">
        <f aca="false">PlanDate-103</f>
        <v>46208</v>
      </c>
      <c r="C130" s="25" t="n">
        <v>15</v>
      </c>
    </row>
    <row r="131" customFormat="false" ht="15" hidden="false" customHeight="false" outlineLevel="0" collapsed="false">
      <c r="A131" s="25" t="s">
        <v>108</v>
      </c>
      <c r="B131" s="26" t="n">
        <f aca="false">PlanDate-102</f>
        <v>46209</v>
      </c>
      <c r="C131" s="25" t="n">
        <v>12</v>
      </c>
    </row>
    <row r="132" customFormat="false" ht="15" hidden="false" customHeight="false" outlineLevel="0" collapsed="false">
      <c r="A132" s="25" t="s">
        <v>108</v>
      </c>
      <c r="B132" s="26" t="n">
        <f aca="false">PlanDate-101</f>
        <v>46210</v>
      </c>
      <c r="C132" s="25" t="n">
        <v>13</v>
      </c>
    </row>
    <row r="133" customFormat="false" ht="15" hidden="false" customHeight="false" outlineLevel="0" collapsed="false">
      <c r="A133" s="25" t="s">
        <v>108</v>
      </c>
      <c r="B133" s="26" t="n">
        <f aca="false">PlanDate-100</f>
        <v>46211</v>
      </c>
      <c r="C133" s="25" t="n">
        <v>15</v>
      </c>
    </row>
    <row r="134" customFormat="false" ht="15" hidden="false" customHeight="false" outlineLevel="0" collapsed="false">
      <c r="A134" s="25" t="s">
        <v>108</v>
      </c>
      <c r="B134" s="26" t="n">
        <f aca="false">PlanDate-99</f>
        <v>46212</v>
      </c>
      <c r="C134" s="25" t="n">
        <v>16</v>
      </c>
    </row>
    <row r="135" customFormat="false" ht="15" hidden="false" customHeight="false" outlineLevel="0" collapsed="false">
      <c r="A135" s="25" t="s">
        <v>108</v>
      </c>
      <c r="B135" s="26" t="n">
        <f aca="false">PlanDate-98</f>
        <v>46213</v>
      </c>
      <c r="C135" s="25" t="n">
        <v>18</v>
      </c>
    </row>
    <row r="136" customFormat="false" ht="15" hidden="false" customHeight="false" outlineLevel="0" collapsed="false">
      <c r="A136" s="25" t="s">
        <v>108</v>
      </c>
      <c r="B136" s="26" t="n">
        <f aca="false">PlanDate-96</f>
        <v>46215</v>
      </c>
      <c r="C136" s="25" t="n">
        <v>12</v>
      </c>
    </row>
    <row r="137" customFormat="false" ht="15" hidden="false" customHeight="false" outlineLevel="0" collapsed="false">
      <c r="A137" s="25" t="s">
        <v>108</v>
      </c>
      <c r="B137" s="26" t="n">
        <f aca="false">PlanDate-94</f>
        <v>46217</v>
      </c>
      <c r="C137" s="25" t="n">
        <v>11</v>
      </c>
    </row>
    <row r="138" customFormat="false" ht="15" hidden="false" customHeight="false" outlineLevel="0" collapsed="false">
      <c r="A138" s="25" t="s">
        <v>108</v>
      </c>
      <c r="B138" s="26" t="n">
        <f aca="false">PlanDate-93</f>
        <v>46218</v>
      </c>
      <c r="C138" s="25" t="n">
        <v>14</v>
      </c>
    </row>
    <row r="139" customFormat="false" ht="15" hidden="false" customHeight="false" outlineLevel="0" collapsed="false">
      <c r="A139" s="25" t="s">
        <v>108</v>
      </c>
      <c r="B139" s="26" t="n">
        <f aca="false">PlanDate-92</f>
        <v>46219</v>
      </c>
      <c r="C139" s="25" t="n">
        <v>9</v>
      </c>
    </row>
    <row r="140" customFormat="false" ht="15" hidden="false" customHeight="false" outlineLevel="0" collapsed="false">
      <c r="A140" s="25" t="s">
        <v>108</v>
      </c>
      <c r="B140" s="26" t="n">
        <f aca="false">PlanDate-91</f>
        <v>46220</v>
      </c>
      <c r="C140" s="25" t="n">
        <v>18</v>
      </c>
    </row>
    <row r="141" customFormat="false" ht="15" hidden="false" customHeight="false" outlineLevel="0" collapsed="false">
      <c r="A141" s="25" t="s">
        <v>108</v>
      </c>
      <c r="B141" s="26" t="n">
        <f aca="false">PlanDate-90</f>
        <v>46221</v>
      </c>
      <c r="C141" s="25" t="n">
        <v>11</v>
      </c>
    </row>
    <row r="142" customFormat="false" ht="15" hidden="false" customHeight="false" outlineLevel="0" collapsed="false">
      <c r="A142" s="25" t="s">
        <v>108</v>
      </c>
      <c r="B142" s="26" t="n">
        <f aca="false">PlanDate-89</f>
        <v>46222</v>
      </c>
      <c r="C142" s="25" t="n">
        <v>18</v>
      </c>
    </row>
    <row r="143" customFormat="false" ht="15" hidden="false" customHeight="false" outlineLevel="0" collapsed="false">
      <c r="A143" s="25" t="s">
        <v>108</v>
      </c>
      <c r="B143" s="26" t="n">
        <f aca="false">PlanDate-88</f>
        <v>46223</v>
      </c>
      <c r="C143" s="25" t="n">
        <v>14</v>
      </c>
    </row>
    <row r="144" customFormat="false" ht="15" hidden="false" customHeight="false" outlineLevel="0" collapsed="false">
      <c r="A144" s="25" t="s">
        <v>108</v>
      </c>
      <c r="B144" s="26" t="n">
        <f aca="false">PlanDate-87</f>
        <v>46224</v>
      </c>
      <c r="C144" s="25" t="n">
        <v>11</v>
      </c>
    </row>
    <row r="145" customFormat="false" ht="15" hidden="false" customHeight="false" outlineLevel="0" collapsed="false">
      <c r="A145" s="25" t="s">
        <v>108</v>
      </c>
      <c r="B145" s="26" t="n">
        <f aca="false">PlanDate-86</f>
        <v>46225</v>
      </c>
      <c r="C145" s="25" t="n">
        <v>9</v>
      </c>
    </row>
    <row r="146" customFormat="false" ht="15" hidden="false" customHeight="false" outlineLevel="0" collapsed="false">
      <c r="A146" s="25" t="s">
        <v>108</v>
      </c>
      <c r="B146" s="26" t="n">
        <f aca="false">PlanDate-84</f>
        <v>46227</v>
      </c>
      <c r="C146" s="25" t="n">
        <v>17</v>
      </c>
    </row>
    <row r="147" customFormat="false" ht="15" hidden="false" customHeight="false" outlineLevel="0" collapsed="false">
      <c r="A147" s="25" t="s">
        <v>108</v>
      </c>
      <c r="B147" s="26" t="n">
        <f aca="false">PlanDate-83</f>
        <v>46228</v>
      </c>
      <c r="C147" s="25" t="n">
        <v>14</v>
      </c>
    </row>
    <row r="148" customFormat="false" ht="15" hidden="false" customHeight="false" outlineLevel="0" collapsed="false">
      <c r="A148" s="25" t="s">
        <v>108</v>
      </c>
      <c r="B148" s="26" t="n">
        <f aca="false">PlanDate-82</f>
        <v>46229</v>
      </c>
      <c r="C148" s="25" t="n">
        <v>14</v>
      </c>
    </row>
    <row r="149" customFormat="false" ht="15" hidden="false" customHeight="false" outlineLevel="0" collapsed="false">
      <c r="A149" s="25" t="s">
        <v>108</v>
      </c>
      <c r="B149" s="26" t="n">
        <f aca="false">PlanDate-81</f>
        <v>46230</v>
      </c>
      <c r="C149" s="25" t="n">
        <v>11</v>
      </c>
    </row>
    <row r="150" customFormat="false" ht="15" hidden="false" customHeight="false" outlineLevel="0" collapsed="false">
      <c r="A150" s="25" t="s">
        <v>108</v>
      </c>
      <c r="B150" s="26" t="n">
        <f aca="false">PlanDate-78</f>
        <v>46233</v>
      </c>
      <c r="C150" s="25" t="n">
        <v>13</v>
      </c>
    </row>
    <row r="151" customFormat="false" ht="15" hidden="false" customHeight="false" outlineLevel="0" collapsed="false">
      <c r="A151" s="25" t="s">
        <v>108</v>
      </c>
      <c r="B151" s="26" t="n">
        <f aca="false">PlanDate-77</f>
        <v>46234</v>
      </c>
      <c r="C151" s="25" t="n">
        <v>12</v>
      </c>
    </row>
    <row r="152" customFormat="false" ht="15" hidden="false" customHeight="false" outlineLevel="0" collapsed="false">
      <c r="A152" s="25" t="s">
        <v>108</v>
      </c>
      <c r="B152" s="26" t="n">
        <f aca="false">PlanDate-76</f>
        <v>46235</v>
      </c>
      <c r="C152" s="25" t="n">
        <v>18</v>
      </c>
    </row>
    <row r="153" customFormat="false" ht="15" hidden="false" customHeight="false" outlineLevel="0" collapsed="false">
      <c r="A153" s="25" t="s">
        <v>108</v>
      </c>
      <c r="B153" s="26" t="n">
        <f aca="false">PlanDate-75</f>
        <v>46236</v>
      </c>
      <c r="C153" s="25" t="n">
        <v>16</v>
      </c>
    </row>
    <row r="154" customFormat="false" ht="15" hidden="false" customHeight="false" outlineLevel="0" collapsed="false">
      <c r="A154" s="25" t="s">
        <v>108</v>
      </c>
      <c r="B154" s="26" t="n">
        <f aca="false">PlanDate-73</f>
        <v>46238</v>
      </c>
      <c r="C154" s="25" t="n">
        <v>17</v>
      </c>
    </row>
    <row r="155" customFormat="false" ht="15" hidden="false" customHeight="false" outlineLevel="0" collapsed="false">
      <c r="A155" s="25" t="s">
        <v>108</v>
      </c>
      <c r="B155" s="26" t="n">
        <f aca="false">PlanDate-72</f>
        <v>46239</v>
      </c>
      <c r="C155" s="25" t="n">
        <v>18</v>
      </c>
    </row>
    <row r="156" customFormat="false" ht="15" hidden="false" customHeight="false" outlineLevel="0" collapsed="false">
      <c r="A156" s="25" t="s">
        <v>108</v>
      </c>
      <c r="B156" s="26" t="n">
        <f aca="false">PlanDate-71</f>
        <v>46240</v>
      </c>
      <c r="C156" s="25" t="n">
        <v>8</v>
      </c>
    </row>
    <row r="157" customFormat="false" ht="15" hidden="false" customHeight="false" outlineLevel="0" collapsed="false">
      <c r="A157" s="25" t="s">
        <v>108</v>
      </c>
      <c r="B157" s="26" t="n">
        <f aca="false">PlanDate-70</f>
        <v>46241</v>
      </c>
      <c r="C157" s="25" t="n">
        <v>18</v>
      </c>
    </row>
    <row r="158" customFormat="false" ht="15" hidden="false" customHeight="false" outlineLevel="0" collapsed="false">
      <c r="A158" s="25" t="s">
        <v>108</v>
      </c>
      <c r="B158" s="26" t="n">
        <f aca="false">PlanDate-69</f>
        <v>46242</v>
      </c>
      <c r="C158" s="25" t="n">
        <v>14</v>
      </c>
    </row>
    <row r="159" customFormat="false" ht="15" hidden="false" customHeight="false" outlineLevel="0" collapsed="false">
      <c r="A159" s="25" t="s">
        <v>108</v>
      </c>
      <c r="B159" s="26" t="n">
        <f aca="false">PlanDate-68</f>
        <v>46243</v>
      </c>
      <c r="C159" s="25" t="n">
        <v>17</v>
      </c>
    </row>
    <row r="160" customFormat="false" ht="15" hidden="false" customHeight="false" outlineLevel="0" collapsed="false">
      <c r="A160" s="25" t="s">
        <v>108</v>
      </c>
      <c r="B160" s="26" t="n">
        <f aca="false">PlanDate-67</f>
        <v>46244</v>
      </c>
      <c r="C160" s="25" t="n">
        <v>18</v>
      </c>
    </row>
    <row r="161" customFormat="false" ht="15" hidden="false" customHeight="false" outlineLevel="0" collapsed="false">
      <c r="A161" s="25" t="s">
        <v>108</v>
      </c>
      <c r="B161" s="26" t="n">
        <f aca="false">PlanDate-65</f>
        <v>46246</v>
      </c>
      <c r="C161" s="25" t="n">
        <v>12</v>
      </c>
    </row>
    <row r="162" customFormat="false" ht="15" hidden="false" customHeight="false" outlineLevel="0" collapsed="false">
      <c r="A162" s="25" t="s">
        <v>108</v>
      </c>
      <c r="B162" s="26" t="n">
        <f aca="false">PlanDate-64</f>
        <v>46247</v>
      </c>
      <c r="C162" s="25" t="n">
        <v>15</v>
      </c>
    </row>
    <row r="163" customFormat="false" ht="15" hidden="false" customHeight="false" outlineLevel="0" collapsed="false">
      <c r="A163" s="25" t="s">
        <v>108</v>
      </c>
      <c r="B163" s="26" t="n">
        <f aca="false">PlanDate-63</f>
        <v>46248</v>
      </c>
      <c r="C163" s="25" t="n">
        <v>18</v>
      </c>
    </row>
    <row r="164" customFormat="false" ht="15" hidden="false" customHeight="false" outlineLevel="0" collapsed="false">
      <c r="A164" s="25" t="s">
        <v>108</v>
      </c>
      <c r="B164" s="26" t="n">
        <f aca="false">PlanDate-62</f>
        <v>46249</v>
      </c>
      <c r="C164" s="25" t="n">
        <v>12</v>
      </c>
    </row>
    <row r="165" customFormat="false" ht="15" hidden="false" customHeight="false" outlineLevel="0" collapsed="false">
      <c r="A165" s="25" t="s">
        <v>108</v>
      </c>
      <c r="B165" s="26" t="n">
        <f aca="false">PlanDate-61</f>
        <v>46250</v>
      </c>
      <c r="C165" s="25" t="n">
        <v>9</v>
      </c>
    </row>
    <row r="166" customFormat="false" ht="15" hidden="false" customHeight="false" outlineLevel="0" collapsed="false">
      <c r="A166" s="25" t="s">
        <v>108</v>
      </c>
      <c r="B166" s="26" t="n">
        <f aca="false">PlanDate-60</f>
        <v>46251</v>
      </c>
      <c r="C166" s="25" t="n">
        <v>17</v>
      </c>
    </row>
    <row r="167" customFormat="false" ht="15" hidden="false" customHeight="false" outlineLevel="0" collapsed="false">
      <c r="A167" s="25" t="s">
        <v>108</v>
      </c>
      <c r="B167" s="26" t="n">
        <f aca="false">PlanDate-59</f>
        <v>46252</v>
      </c>
      <c r="C167" s="25" t="n">
        <v>15</v>
      </c>
    </row>
    <row r="168" customFormat="false" ht="15" hidden="false" customHeight="false" outlineLevel="0" collapsed="false">
      <c r="A168" s="25" t="s">
        <v>108</v>
      </c>
      <c r="B168" s="26" t="n">
        <f aca="false">PlanDate-58</f>
        <v>46253</v>
      </c>
      <c r="C168" s="25" t="n">
        <v>16</v>
      </c>
    </row>
    <row r="169" customFormat="false" ht="15" hidden="false" customHeight="false" outlineLevel="0" collapsed="false">
      <c r="A169" s="25" t="s">
        <v>108</v>
      </c>
      <c r="B169" s="26" t="n">
        <f aca="false">PlanDate-57</f>
        <v>46254</v>
      </c>
      <c r="C169" s="25" t="n">
        <v>13</v>
      </c>
    </row>
    <row r="170" customFormat="false" ht="15" hidden="false" customHeight="false" outlineLevel="0" collapsed="false">
      <c r="A170" s="25" t="s">
        <v>108</v>
      </c>
      <c r="B170" s="26" t="n">
        <f aca="false">PlanDate-56</f>
        <v>46255</v>
      </c>
      <c r="C170" s="25" t="n">
        <v>16</v>
      </c>
    </row>
    <row r="171" customFormat="false" ht="15" hidden="false" customHeight="false" outlineLevel="0" collapsed="false">
      <c r="A171" s="25" t="s">
        <v>108</v>
      </c>
      <c r="B171" s="26" t="n">
        <f aca="false">PlanDate-55</f>
        <v>46256</v>
      </c>
      <c r="C171" s="25" t="n">
        <v>14</v>
      </c>
    </row>
    <row r="172" customFormat="false" ht="15" hidden="false" customHeight="false" outlineLevel="0" collapsed="false">
      <c r="A172" s="25" t="s">
        <v>108</v>
      </c>
      <c r="B172" s="26" t="n">
        <f aca="false">PlanDate-54</f>
        <v>46257</v>
      </c>
      <c r="C172" s="25" t="n">
        <v>11</v>
      </c>
    </row>
    <row r="173" customFormat="false" ht="15" hidden="false" customHeight="false" outlineLevel="0" collapsed="false">
      <c r="A173" s="25" t="s">
        <v>108</v>
      </c>
      <c r="B173" s="26" t="n">
        <f aca="false">PlanDate-53</f>
        <v>46258</v>
      </c>
      <c r="C173" s="25" t="n">
        <v>10</v>
      </c>
    </row>
    <row r="174" customFormat="false" ht="15" hidden="false" customHeight="false" outlineLevel="0" collapsed="false">
      <c r="A174" s="25" t="s">
        <v>108</v>
      </c>
      <c r="B174" s="26" t="n">
        <f aca="false">PlanDate-52</f>
        <v>46259</v>
      </c>
      <c r="C174" s="25" t="n">
        <v>11</v>
      </c>
    </row>
    <row r="175" customFormat="false" ht="15" hidden="false" customHeight="false" outlineLevel="0" collapsed="false">
      <c r="A175" s="25" t="s">
        <v>108</v>
      </c>
      <c r="B175" s="26" t="n">
        <f aca="false">PlanDate-51</f>
        <v>46260</v>
      </c>
      <c r="C175" s="25" t="n">
        <v>14</v>
      </c>
    </row>
    <row r="176" customFormat="false" ht="15" hidden="false" customHeight="false" outlineLevel="0" collapsed="false">
      <c r="A176" s="25" t="s">
        <v>108</v>
      </c>
      <c r="B176" s="26" t="n">
        <f aca="false">PlanDate-50</f>
        <v>46261</v>
      </c>
      <c r="C176" s="25" t="n">
        <v>16</v>
      </c>
    </row>
    <row r="177" customFormat="false" ht="15" hidden="false" customHeight="false" outlineLevel="0" collapsed="false">
      <c r="A177" s="25" t="s">
        <v>108</v>
      </c>
      <c r="B177" s="26" t="n">
        <f aca="false">PlanDate-49</f>
        <v>46262</v>
      </c>
      <c r="C177" s="25" t="n">
        <v>13</v>
      </c>
    </row>
    <row r="178" customFormat="false" ht="15" hidden="false" customHeight="false" outlineLevel="0" collapsed="false">
      <c r="A178" s="25" t="s">
        <v>108</v>
      </c>
      <c r="B178" s="26" t="n">
        <f aca="false">PlanDate-47</f>
        <v>46264</v>
      </c>
      <c r="C178" s="25" t="n">
        <v>9</v>
      </c>
    </row>
    <row r="179" customFormat="false" ht="15" hidden="false" customHeight="false" outlineLevel="0" collapsed="false">
      <c r="A179" s="25" t="s">
        <v>108</v>
      </c>
      <c r="B179" s="26" t="n">
        <f aca="false">PlanDate-46</f>
        <v>46265</v>
      </c>
      <c r="C179" s="25" t="n">
        <v>9</v>
      </c>
    </row>
    <row r="180" customFormat="false" ht="15" hidden="false" customHeight="false" outlineLevel="0" collapsed="false">
      <c r="A180" s="25" t="s">
        <v>108</v>
      </c>
      <c r="B180" s="26" t="n">
        <f aca="false">PlanDate-45</f>
        <v>46266</v>
      </c>
      <c r="C180" s="25" t="n">
        <v>14</v>
      </c>
    </row>
    <row r="181" customFormat="false" ht="15" hidden="false" customHeight="false" outlineLevel="0" collapsed="false">
      <c r="A181" s="25" t="s">
        <v>108</v>
      </c>
      <c r="B181" s="26" t="n">
        <f aca="false">PlanDate-44</f>
        <v>46267</v>
      </c>
      <c r="C181" s="25" t="n">
        <v>9</v>
      </c>
    </row>
    <row r="182" customFormat="false" ht="15" hidden="false" customHeight="false" outlineLevel="0" collapsed="false">
      <c r="A182" s="25" t="s">
        <v>108</v>
      </c>
      <c r="B182" s="26" t="n">
        <f aca="false">PlanDate-43</f>
        <v>46268</v>
      </c>
      <c r="C182" s="25" t="n">
        <v>18</v>
      </c>
    </row>
    <row r="183" customFormat="false" ht="15" hidden="false" customHeight="false" outlineLevel="0" collapsed="false">
      <c r="A183" s="25" t="s">
        <v>108</v>
      </c>
      <c r="B183" s="26" t="n">
        <f aca="false">PlanDate-42</f>
        <v>46269</v>
      </c>
      <c r="C183" s="25" t="n">
        <v>13</v>
      </c>
    </row>
    <row r="184" customFormat="false" ht="15" hidden="false" customHeight="false" outlineLevel="0" collapsed="false">
      <c r="A184" s="25" t="s">
        <v>108</v>
      </c>
      <c r="B184" s="26" t="n">
        <f aca="false">PlanDate-41</f>
        <v>46270</v>
      </c>
      <c r="C184" s="25" t="n">
        <v>9</v>
      </c>
    </row>
    <row r="185" customFormat="false" ht="15" hidden="false" customHeight="false" outlineLevel="0" collapsed="false">
      <c r="A185" s="25" t="s">
        <v>108</v>
      </c>
      <c r="B185" s="26" t="n">
        <f aca="false">PlanDate-40</f>
        <v>46271</v>
      </c>
      <c r="C185" s="25" t="n">
        <v>13</v>
      </c>
    </row>
    <row r="186" customFormat="false" ht="15" hidden="false" customHeight="false" outlineLevel="0" collapsed="false">
      <c r="A186" s="25" t="s">
        <v>108</v>
      </c>
      <c r="B186" s="26" t="n">
        <f aca="false">PlanDate-39</f>
        <v>46272</v>
      </c>
      <c r="C186" s="25" t="n">
        <v>10</v>
      </c>
    </row>
    <row r="187" customFormat="false" ht="15" hidden="false" customHeight="false" outlineLevel="0" collapsed="false">
      <c r="A187" s="25" t="s">
        <v>108</v>
      </c>
      <c r="B187" s="26" t="n">
        <f aca="false">PlanDate-38</f>
        <v>46273</v>
      </c>
      <c r="C187" s="25" t="n">
        <v>18</v>
      </c>
    </row>
    <row r="188" customFormat="false" ht="15" hidden="false" customHeight="false" outlineLevel="0" collapsed="false">
      <c r="A188" s="25" t="s">
        <v>108</v>
      </c>
      <c r="B188" s="26" t="n">
        <f aca="false">PlanDate-37</f>
        <v>46274</v>
      </c>
      <c r="C188" s="25" t="n">
        <v>10</v>
      </c>
    </row>
    <row r="189" customFormat="false" ht="15" hidden="false" customHeight="false" outlineLevel="0" collapsed="false">
      <c r="A189" s="25" t="s">
        <v>108</v>
      </c>
      <c r="B189" s="26" t="n">
        <f aca="false">PlanDate-36</f>
        <v>46275</v>
      </c>
      <c r="C189" s="25" t="n">
        <v>12</v>
      </c>
    </row>
    <row r="190" customFormat="false" ht="15" hidden="false" customHeight="false" outlineLevel="0" collapsed="false">
      <c r="A190" s="25" t="s">
        <v>108</v>
      </c>
      <c r="B190" s="26" t="n">
        <f aca="false">PlanDate-35</f>
        <v>46276</v>
      </c>
      <c r="C190" s="25" t="n">
        <v>12</v>
      </c>
    </row>
    <row r="191" customFormat="false" ht="15" hidden="false" customHeight="false" outlineLevel="0" collapsed="false">
      <c r="A191" s="25" t="s">
        <v>108</v>
      </c>
      <c r="B191" s="26" t="n">
        <f aca="false">PlanDate-34</f>
        <v>46277</v>
      </c>
      <c r="C191" s="25" t="n">
        <v>11</v>
      </c>
    </row>
    <row r="192" customFormat="false" ht="15" hidden="false" customHeight="false" outlineLevel="0" collapsed="false">
      <c r="A192" s="25" t="s">
        <v>108</v>
      </c>
      <c r="B192" s="26" t="n">
        <f aca="false">PlanDate-33</f>
        <v>46278</v>
      </c>
      <c r="C192" s="25" t="n">
        <v>16</v>
      </c>
    </row>
    <row r="193" customFormat="false" ht="15" hidden="false" customHeight="false" outlineLevel="0" collapsed="false">
      <c r="A193" s="25" t="s">
        <v>108</v>
      </c>
      <c r="B193" s="26" t="n">
        <f aca="false">PlanDate-32</f>
        <v>46279</v>
      </c>
      <c r="C193" s="25" t="n">
        <v>16</v>
      </c>
    </row>
    <row r="194" customFormat="false" ht="15" hidden="false" customHeight="false" outlineLevel="0" collapsed="false">
      <c r="A194" s="25" t="s">
        <v>108</v>
      </c>
      <c r="B194" s="26" t="n">
        <f aca="false">PlanDate-31</f>
        <v>46280</v>
      </c>
      <c r="C194" s="25" t="n">
        <v>12</v>
      </c>
    </row>
    <row r="195" customFormat="false" ht="15" hidden="false" customHeight="false" outlineLevel="0" collapsed="false">
      <c r="A195" s="25" t="s">
        <v>108</v>
      </c>
      <c r="B195" s="26" t="n">
        <f aca="false">PlanDate-30</f>
        <v>46281</v>
      </c>
      <c r="C195" s="25" t="n">
        <v>12</v>
      </c>
    </row>
    <row r="196" customFormat="false" ht="15" hidden="false" customHeight="false" outlineLevel="0" collapsed="false">
      <c r="A196" s="25" t="s">
        <v>108</v>
      </c>
      <c r="B196" s="26" t="n">
        <f aca="false">PlanDate-29</f>
        <v>46282</v>
      </c>
      <c r="C196" s="25" t="n">
        <v>11</v>
      </c>
    </row>
    <row r="197" customFormat="false" ht="15" hidden="false" customHeight="false" outlineLevel="0" collapsed="false">
      <c r="A197" s="25" t="s">
        <v>108</v>
      </c>
      <c r="B197" s="26" t="n">
        <f aca="false">PlanDate-28</f>
        <v>46283</v>
      </c>
      <c r="C197" s="25" t="n">
        <v>10</v>
      </c>
    </row>
    <row r="198" customFormat="false" ht="15" hidden="false" customHeight="false" outlineLevel="0" collapsed="false">
      <c r="A198" s="25" t="s">
        <v>108</v>
      </c>
      <c r="B198" s="26" t="n">
        <f aca="false">PlanDate-27</f>
        <v>46284</v>
      </c>
      <c r="C198" s="25" t="n">
        <v>18</v>
      </c>
    </row>
    <row r="199" customFormat="false" ht="15" hidden="false" customHeight="false" outlineLevel="0" collapsed="false">
      <c r="A199" s="25" t="s">
        <v>108</v>
      </c>
      <c r="B199" s="26" t="n">
        <f aca="false">PlanDate-26</f>
        <v>46285</v>
      </c>
      <c r="C199" s="25" t="n">
        <v>9</v>
      </c>
    </row>
    <row r="200" customFormat="false" ht="15" hidden="false" customHeight="false" outlineLevel="0" collapsed="false">
      <c r="A200" s="25" t="s">
        <v>108</v>
      </c>
      <c r="B200" s="26" t="n">
        <f aca="false">PlanDate-25</f>
        <v>46286</v>
      </c>
      <c r="C200" s="25" t="n">
        <v>11</v>
      </c>
    </row>
    <row r="201" customFormat="false" ht="15" hidden="false" customHeight="false" outlineLevel="0" collapsed="false">
      <c r="A201" s="25" t="s">
        <v>108</v>
      </c>
      <c r="B201" s="26" t="n">
        <f aca="false">PlanDate-24</f>
        <v>46287</v>
      </c>
      <c r="C201" s="25" t="n">
        <v>14</v>
      </c>
    </row>
    <row r="202" customFormat="false" ht="15" hidden="false" customHeight="false" outlineLevel="0" collapsed="false">
      <c r="A202" s="25" t="s">
        <v>108</v>
      </c>
      <c r="B202" s="26" t="n">
        <f aca="false">PlanDate-23</f>
        <v>46288</v>
      </c>
      <c r="C202" s="25" t="n">
        <v>9</v>
      </c>
    </row>
    <row r="203" customFormat="false" ht="15" hidden="false" customHeight="false" outlineLevel="0" collapsed="false">
      <c r="A203" s="25" t="s">
        <v>108</v>
      </c>
      <c r="B203" s="26" t="n">
        <f aca="false">PlanDate-22</f>
        <v>46289</v>
      </c>
      <c r="C203" s="25" t="n">
        <v>12</v>
      </c>
    </row>
    <row r="204" customFormat="false" ht="15" hidden="false" customHeight="false" outlineLevel="0" collapsed="false">
      <c r="A204" s="25" t="s">
        <v>108</v>
      </c>
      <c r="B204" s="26" t="n">
        <f aca="false">PlanDate-21</f>
        <v>46290</v>
      </c>
      <c r="C204" s="25" t="n">
        <v>18</v>
      </c>
    </row>
    <row r="205" customFormat="false" ht="15" hidden="false" customHeight="false" outlineLevel="0" collapsed="false">
      <c r="A205" s="25" t="s">
        <v>108</v>
      </c>
      <c r="B205" s="26" t="n">
        <f aca="false">PlanDate-20</f>
        <v>46291</v>
      </c>
      <c r="C205" s="25" t="n">
        <v>14</v>
      </c>
    </row>
    <row r="206" customFormat="false" ht="15" hidden="false" customHeight="false" outlineLevel="0" collapsed="false">
      <c r="A206" s="25" t="s">
        <v>108</v>
      </c>
      <c r="B206" s="26" t="n">
        <f aca="false">PlanDate-19</f>
        <v>46292</v>
      </c>
      <c r="C206" s="25" t="n">
        <v>9</v>
      </c>
    </row>
    <row r="207" customFormat="false" ht="15" hidden="false" customHeight="false" outlineLevel="0" collapsed="false">
      <c r="A207" s="25" t="s">
        <v>108</v>
      </c>
      <c r="B207" s="26" t="n">
        <f aca="false">PlanDate-17</f>
        <v>46294</v>
      </c>
      <c r="C207" s="25" t="n">
        <v>14</v>
      </c>
    </row>
    <row r="208" customFormat="false" ht="15" hidden="false" customHeight="false" outlineLevel="0" collapsed="false">
      <c r="A208" s="25" t="s">
        <v>108</v>
      </c>
      <c r="B208" s="26" t="n">
        <f aca="false">PlanDate-16</f>
        <v>46295</v>
      </c>
      <c r="C208" s="25" t="n">
        <v>10</v>
      </c>
    </row>
    <row r="209" customFormat="false" ht="15" hidden="false" customHeight="false" outlineLevel="0" collapsed="false">
      <c r="A209" s="25" t="s">
        <v>108</v>
      </c>
      <c r="B209" s="26" t="n">
        <f aca="false">PlanDate-15</f>
        <v>46296</v>
      </c>
      <c r="C209" s="25" t="n">
        <v>11</v>
      </c>
    </row>
    <row r="210" customFormat="false" ht="15" hidden="false" customHeight="false" outlineLevel="0" collapsed="false">
      <c r="A210" s="25" t="s">
        <v>108</v>
      </c>
      <c r="B210" s="26" t="n">
        <f aca="false">PlanDate-14</f>
        <v>46297</v>
      </c>
      <c r="C210" s="25" t="n">
        <v>9</v>
      </c>
    </row>
    <row r="211" customFormat="false" ht="15" hidden="false" customHeight="false" outlineLevel="0" collapsed="false">
      <c r="A211" s="25" t="s">
        <v>108</v>
      </c>
      <c r="B211" s="26" t="n">
        <f aca="false">PlanDate-13</f>
        <v>46298</v>
      </c>
      <c r="C211" s="25" t="n">
        <v>18</v>
      </c>
    </row>
    <row r="212" customFormat="false" ht="15" hidden="false" customHeight="false" outlineLevel="0" collapsed="false">
      <c r="A212" s="25" t="s">
        <v>108</v>
      </c>
      <c r="B212" s="26" t="n">
        <f aca="false">PlanDate-11</f>
        <v>46300</v>
      </c>
      <c r="C212" s="25" t="n">
        <v>11</v>
      </c>
    </row>
    <row r="213" customFormat="false" ht="15" hidden="false" customHeight="false" outlineLevel="0" collapsed="false">
      <c r="A213" s="25" t="s">
        <v>108</v>
      </c>
      <c r="B213" s="26" t="n">
        <f aca="false">PlanDate-10</f>
        <v>46301</v>
      </c>
      <c r="C213" s="25" t="n">
        <v>12</v>
      </c>
    </row>
    <row r="214" customFormat="false" ht="15" hidden="false" customHeight="false" outlineLevel="0" collapsed="false">
      <c r="A214" s="25" t="s">
        <v>108</v>
      </c>
      <c r="B214" s="26" t="n">
        <f aca="false">PlanDate-9</f>
        <v>46302</v>
      </c>
      <c r="C214" s="25" t="n">
        <v>8</v>
      </c>
    </row>
    <row r="215" customFormat="false" ht="15" hidden="false" customHeight="false" outlineLevel="0" collapsed="false">
      <c r="A215" s="25" t="s">
        <v>108</v>
      </c>
      <c r="B215" s="26" t="n">
        <f aca="false">PlanDate-8</f>
        <v>46303</v>
      </c>
      <c r="C215" s="25" t="n">
        <v>18</v>
      </c>
    </row>
    <row r="216" customFormat="false" ht="15" hidden="false" customHeight="false" outlineLevel="0" collapsed="false">
      <c r="A216" s="25" t="s">
        <v>108</v>
      </c>
      <c r="B216" s="26" t="n">
        <f aca="false">PlanDate-7</f>
        <v>46304</v>
      </c>
      <c r="C216" s="25" t="n">
        <v>13</v>
      </c>
    </row>
    <row r="217" customFormat="false" ht="15" hidden="false" customHeight="false" outlineLevel="0" collapsed="false">
      <c r="A217" s="25" t="s">
        <v>108</v>
      </c>
      <c r="B217" s="26" t="n">
        <f aca="false">PlanDate-6</f>
        <v>46305</v>
      </c>
      <c r="C217" s="25" t="n">
        <v>18</v>
      </c>
    </row>
    <row r="218" customFormat="false" ht="15" hidden="false" customHeight="false" outlineLevel="0" collapsed="false">
      <c r="A218" s="25" t="s">
        <v>108</v>
      </c>
      <c r="B218" s="26" t="n">
        <f aca="false">PlanDate-5</f>
        <v>46306</v>
      </c>
      <c r="C218" s="25" t="n">
        <v>13</v>
      </c>
    </row>
    <row r="219" customFormat="false" ht="15" hidden="false" customHeight="false" outlineLevel="0" collapsed="false">
      <c r="A219" s="25" t="s">
        <v>108</v>
      </c>
      <c r="B219" s="26" t="n">
        <f aca="false">PlanDate-4</f>
        <v>46307</v>
      </c>
      <c r="C219" s="25" t="n">
        <v>14</v>
      </c>
    </row>
    <row r="220" customFormat="false" ht="15" hidden="false" customHeight="false" outlineLevel="0" collapsed="false">
      <c r="A220" s="25" t="s">
        <v>108</v>
      </c>
      <c r="B220" s="26" t="n">
        <f aca="false">PlanDate-3</f>
        <v>46308</v>
      </c>
      <c r="C220" s="25" t="n">
        <v>18</v>
      </c>
    </row>
    <row r="221" customFormat="false" ht="15" hidden="false" customHeight="false" outlineLevel="0" collapsed="false">
      <c r="A221" s="25" t="s">
        <v>108</v>
      </c>
      <c r="B221" s="26" t="n">
        <f aca="false">PlanDate-2</f>
        <v>46309</v>
      </c>
      <c r="C221" s="25" t="n">
        <v>15</v>
      </c>
    </row>
    <row r="222" customFormat="false" ht="15" hidden="false" customHeight="false" outlineLevel="0" collapsed="false">
      <c r="A222" s="25" t="s">
        <v>108</v>
      </c>
      <c r="B222" s="26" t="n">
        <f aca="false">PlanDate-1</f>
        <v>46310</v>
      </c>
      <c r="C222" s="25" t="n">
        <v>17</v>
      </c>
    </row>
    <row r="223" customFormat="false" ht="15" hidden="false" customHeight="false" outlineLevel="0" collapsed="false">
      <c r="A223" s="25" t="s">
        <v>110</v>
      </c>
      <c r="B223" s="26" t="n">
        <f aca="false">PlanDate-119</f>
        <v>46192</v>
      </c>
      <c r="C223" s="25" t="n">
        <v>7</v>
      </c>
    </row>
    <row r="224" customFormat="false" ht="15" hidden="false" customHeight="false" outlineLevel="0" collapsed="false">
      <c r="A224" s="25" t="s">
        <v>110</v>
      </c>
      <c r="B224" s="26" t="n">
        <f aca="false">PlanDate-118</f>
        <v>46193</v>
      </c>
      <c r="C224" s="25" t="n">
        <v>8</v>
      </c>
    </row>
    <row r="225" customFormat="false" ht="15" hidden="false" customHeight="false" outlineLevel="0" collapsed="false">
      <c r="A225" s="25" t="s">
        <v>110</v>
      </c>
      <c r="B225" s="26" t="n">
        <f aca="false">PlanDate-117</f>
        <v>46194</v>
      </c>
      <c r="C225" s="25" t="n">
        <v>12</v>
      </c>
    </row>
    <row r="226" customFormat="false" ht="15" hidden="false" customHeight="false" outlineLevel="0" collapsed="false">
      <c r="A226" s="25" t="s">
        <v>110</v>
      </c>
      <c r="B226" s="26" t="n">
        <f aca="false">PlanDate-116</f>
        <v>46195</v>
      </c>
      <c r="C226" s="25" t="n">
        <v>8</v>
      </c>
    </row>
    <row r="227" customFormat="false" ht="15" hidden="false" customHeight="false" outlineLevel="0" collapsed="false">
      <c r="A227" s="25" t="s">
        <v>110</v>
      </c>
      <c r="B227" s="26" t="n">
        <f aca="false">PlanDate-115</f>
        <v>46196</v>
      </c>
      <c r="C227" s="25" t="n">
        <v>8</v>
      </c>
    </row>
    <row r="228" customFormat="false" ht="15" hidden="false" customHeight="false" outlineLevel="0" collapsed="false">
      <c r="A228" s="25" t="s">
        <v>110</v>
      </c>
      <c r="B228" s="26" t="n">
        <f aca="false">PlanDate-114</f>
        <v>46197</v>
      </c>
      <c r="C228" s="25" t="n">
        <v>11</v>
      </c>
    </row>
    <row r="229" customFormat="false" ht="15" hidden="false" customHeight="false" outlineLevel="0" collapsed="false">
      <c r="A229" s="25" t="s">
        <v>110</v>
      </c>
      <c r="B229" s="26" t="n">
        <f aca="false">PlanDate-112</f>
        <v>46199</v>
      </c>
      <c r="C229" s="25" t="n">
        <v>10</v>
      </c>
    </row>
    <row r="230" customFormat="false" ht="15" hidden="false" customHeight="false" outlineLevel="0" collapsed="false">
      <c r="A230" s="25" t="s">
        <v>110</v>
      </c>
      <c r="B230" s="26" t="n">
        <f aca="false">PlanDate-111</f>
        <v>46200</v>
      </c>
      <c r="C230" s="25" t="n">
        <v>13</v>
      </c>
    </row>
    <row r="231" customFormat="false" ht="15" hidden="false" customHeight="false" outlineLevel="0" collapsed="false">
      <c r="A231" s="25" t="s">
        <v>110</v>
      </c>
      <c r="B231" s="26" t="n">
        <f aca="false">PlanDate-110</f>
        <v>46201</v>
      </c>
      <c r="C231" s="25" t="n">
        <v>8</v>
      </c>
    </row>
    <row r="232" customFormat="false" ht="15" hidden="false" customHeight="false" outlineLevel="0" collapsed="false">
      <c r="A232" s="25" t="s">
        <v>110</v>
      </c>
      <c r="B232" s="26" t="n">
        <f aca="false">PlanDate-109</f>
        <v>46202</v>
      </c>
      <c r="C232" s="25" t="n">
        <v>10</v>
      </c>
    </row>
    <row r="233" customFormat="false" ht="15" hidden="false" customHeight="false" outlineLevel="0" collapsed="false">
      <c r="A233" s="25" t="s">
        <v>110</v>
      </c>
      <c r="B233" s="26" t="n">
        <f aca="false">PlanDate-108</f>
        <v>46203</v>
      </c>
      <c r="C233" s="25" t="n">
        <v>10</v>
      </c>
    </row>
    <row r="234" customFormat="false" ht="15" hidden="false" customHeight="false" outlineLevel="0" collapsed="false">
      <c r="A234" s="25" t="s">
        <v>110</v>
      </c>
      <c r="B234" s="26" t="n">
        <f aca="false">PlanDate-105</f>
        <v>46206</v>
      </c>
      <c r="C234" s="25" t="n">
        <v>7</v>
      </c>
    </row>
    <row r="235" customFormat="false" ht="15" hidden="false" customHeight="false" outlineLevel="0" collapsed="false">
      <c r="A235" s="25" t="s">
        <v>110</v>
      </c>
      <c r="B235" s="26" t="n">
        <f aca="false">PlanDate-103</f>
        <v>46208</v>
      </c>
      <c r="C235" s="25" t="n">
        <v>10</v>
      </c>
    </row>
    <row r="236" customFormat="false" ht="15" hidden="false" customHeight="false" outlineLevel="0" collapsed="false">
      <c r="A236" s="25" t="s">
        <v>110</v>
      </c>
      <c r="B236" s="26" t="n">
        <f aca="false">PlanDate-102</f>
        <v>46209</v>
      </c>
      <c r="C236" s="25" t="n">
        <v>9</v>
      </c>
    </row>
    <row r="237" customFormat="false" ht="15" hidden="false" customHeight="false" outlineLevel="0" collapsed="false">
      <c r="A237" s="25" t="s">
        <v>110</v>
      </c>
      <c r="B237" s="26" t="n">
        <f aca="false">PlanDate-100</f>
        <v>46211</v>
      </c>
      <c r="C237" s="25" t="n">
        <v>10</v>
      </c>
    </row>
    <row r="238" customFormat="false" ht="15" hidden="false" customHeight="false" outlineLevel="0" collapsed="false">
      <c r="A238" s="25" t="s">
        <v>110</v>
      </c>
      <c r="B238" s="26" t="n">
        <f aca="false">PlanDate-99</f>
        <v>46212</v>
      </c>
      <c r="C238" s="25" t="n">
        <v>12</v>
      </c>
    </row>
    <row r="239" customFormat="false" ht="15" hidden="false" customHeight="false" outlineLevel="0" collapsed="false">
      <c r="A239" s="25" t="s">
        <v>110</v>
      </c>
      <c r="B239" s="26" t="n">
        <f aca="false">PlanDate-97</f>
        <v>46214</v>
      </c>
      <c r="C239" s="25" t="n">
        <v>8</v>
      </c>
    </row>
    <row r="240" customFormat="false" ht="15" hidden="false" customHeight="false" outlineLevel="0" collapsed="false">
      <c r="A240" s="25" t="s">
        <v>110</v>
      </c>
      <c r="B240" s="26" t="n">
        <f aca="false">PlanDate-96</f>
        <v>46215</v>
      </c>
      <c r="C240" s="25" t="n">
        <v>5</v>
      </c>
    </row>
    <row r="241" customFormat="false" ht="15" hidden="false" customHeight="false" outlineLevel="0" collapsed="false">
      <c r="A241" s="25" t="s">
        <v>110</v>
      </c>
      <c r="B241" s="26" t="n">
        <f aca="false">PlanDate-93</f>
        <v>46218</v>
      </c>
      <c r="C241" s="25" t="n">
        <v>7</v>
      </c>
    </row>
    <row r="242" customFormat="false" ht="15" hidden="false" customHeight="false" outlineLevel="0" collapsed="false">
      <c r="A242" s="25" t="s">
        <v>110</v>
      </c>
      <c r="B242" s="26" t="n">
        <f aca="false">PlanDate-92</f>
        <v>46219</v>
      </c>
      <c r="C242" s="25" t="n">
        <v>13</v>
      </c>
    </row>
    <row r="243" customFormat="false" ht="15" hidden="false" customHeight="false" outlineLevel="0" collapsed="false">
      <c r="A243" s="25" t="s">
        <v>110</v>
      </c>
      <c r="B243" s="26" t="n">
        <f aca="false">PlanDate-91</f>
        <v>46220</v>
      </c>
      <c r="C243" s="25" t="n">
        <v>9</v>
      </c>
    </row>
    <row r="244" customFormat="false" ht="15" hidden="false" customHeight="false" outlineLevel="0" collapsed="false">
      <c r="A244" s="25" t="s">
        <v>110</v>
      </c>
      <c r="B244" s="26" t="n">
        <f aca="false">PlanDate-90</f>
        <v>46221</v>
      </c>
      <c r="C244" s="25" t="n">
        <v>11</v>
      </c>
    </row>
    <row r="245" customFormat="false" ht="15" hidden="false" customHeight="false" outlineLevel="0" collapsed="false">
      <c r="A245" s="25" t="s">
        <v>110</v>
      </c>
      <c r="B245" s="26" t="n">
        <f aca="false">PlanDate-88</f>
        <v>46223</v>
      </c>
      <c r="C245" s="25" t="n">
        <v>5</v>
      </c>
    </row>
    <row r="246" customFormat="false" ht="15" hidden="false" customHeight="false" outlineLevel="0" collapsed="false">
      <c r="A246" s="25" t="s">
        <v>110</v>
      </c>
      <c r="B246" s="26" t="n">
        <f aca="false">PlanDate-87</f>
        <v>46224</v>
      </c>
      <c r="C246" s="25" t="n">
        <v>7</v>
      </c>
    </row>
    <row r="247" customFormat="false" ht="15" hidden="false" customHeight="false" outlineLevel="0" collapsed="false">
      <c r="A247" s="25" t="s">
        <v>110</v>
      </c>
      <c r="B247" s="26" t="n">
        <f aca="false">PlanDate-86</f>
        <v>46225</v>
      </c>
      <c r="C247" s="25" t="n">
        <v>7</v>
      </c>
    </row>
    <row r="248" customFormat="false" ht="15" hidden="false" customHeight="false" outlineLevel="0" collapsed="false">
      <c r="A248" s="25" t="s">
        <v>110</v>
      </c>
      <c r="B248" s="26" t="n">
        <f aca="false">PlanDate-85</f>
        <v>46226</v>
      </c>
      <c r="C248" s="25" t="n">
        <v>7</v>
      </c>
    </row>
    <row r="249" customFormat="false" ht="15" hidden="false" customHeight="false" outlineLevel="0" collapsed="false">
      <c r="A249" s="25" t="s">
        <v>110</v>
      </c>
      <c r="B249" s="26" t="n">
        <f aca="false">PlanDate-84</f>
        <v>46227</v>
      </c>
      <c r="C249" s="25" t="n">
        <v>4</v>
      </c>
    </row>
    <row r="250" customFormat="false" ht="15" hidden="false" customHeight="false" outlineLevel="0" collapsed="false">
      <c r="A250" s="25" t="s">
        <v>110</v>
      </c>
      <c r="B250" s="26" t="n">
        <f aca="false">PlanDate-83</f>
        <v>46228</v>
      </c>
      <c r="C250" s="25" t="n">
        <v>9</v>
      </c>
    </row>
    <row r="251" customFormat="false" ht="15" hidden="false" customHeight="false" outlineLevel="0" collapsed="false">
      <c r="A251" s="25" t="s">
        <v>110</v>
      </c>
      <c r="B251" s="26" t="n">
        <f aca="false">PlanDate-82</f>
        <v>46229</v>
      </c>
      <c r="C251" s="25" t="n">
        <v>7</v>
      </c>
    </row>
    <row r="252" customFormat="false" ht="15" hidden="false" customHeight="false" outlineLevel="0" collapsed="false">
      <c r="A252" s="25" t="s">
        <v>110</v>
      </c>
      <c r="B252" s="26" t="n">
        <f aca="false">PlanDate-81</f>
        <v>46230</v>
      </c>
      <c r="C252" s="25" t="n">
        <v>13</v>
      </c>
    </row>
    <row r="253" customFormat="false" ht="15" hidden="false" customHeight="false" outlineLevel="0" collapsed="false">
      <c r="A253" s="25" t="s">
        <v>110</v>
      </c>
      <c r="B253" s="26" t="n">
        <f aca="false">PlanDate-80</f>
        <v>46231</v>
      </c>
      <c r="C253" s="25" t="n">
        <v>13</v>
      </c>
    </row>
    <row r="254" customFormat="false" ht="15" hidden="false" customHeight="false" outlineLevel="0" collapsed="false">
      <c r="A254" s="25" t="s">
        <v>110</v>
      </c>
      <c r="B254" s="26" t="n">
        <f aca="false">PlanDate-74</f>
        <v>46237</v>
      </c>
      <c r="C254" s="25" t="n">
        <v>7</v>
      </c>
    </row>
    <row r="255" customFormat="false" ht="15" hidden="false" customHeight="false" outlineLevel="0" collapsed="false">
      <c r="A255" s="25" t="s">
        <v>110</v>
      </c>
      <c r="B255" s="26" t="n">
        <f aca="false">PlanDate-73</f>
        <v>46238</v>
      </c>
      <c r="C255" s="25" t="n">
        <v>5</v>
      </c>
    </row>
    <row r="256" customFormat="false" ht="15" hidden="false" customHeight="false" outlineLevel="0" collapsed="false">
      <c r="A256" s="25" t="s">
        <v>110</v>
      </c>
      <c r="B256" s="26" t="n">
        <f aca="false">PlanDate-72</f>
        <v>46239</v>
      </c>
      <c r="C256" s="25" t="n">
        <v>9</v>
      </c>
    </row>
    <row r="257" customFormat="false" ht="15" hidden="false" customHeight="false" outlineLevel="0" collapsed="false">
      <c r="A257" s="25" t="s">
        <v>110</v>
      </c>
      <c r="B257" s="26" t="n">
        <f aca="false">PlanDate-69</f>
        <v>46242</v>
      </c>
      <c r="C257" s="25" t="n">
        <v>6</v>
      </c>
    </row>
    <row r="258" customFormat="false" ht="15" hidden="false" customHeight="false" outlineLevel="0" collapsed="false">
      <c r="A258" s="25" t="s">
        <v>110</v>
      </c>
      <c r="B258" s="26" t="n">
        <f aca="false">PlanDate-67</f>
        <v>46244</v>
      </c>
      <c r="C258" s="25" t="n">
        <v>4</v>
      </c>
    </row>
    <row r="259" customFormat="false" ht="15" hidden="false" customHeight="false" outlineLevel="0" collapsed="false">
      <c r="A259" s="25" t="s">
        <v>110</v>
      </c>
      <c r="B259" s="26" t="n">
        <f aca="false">PlanDate-65</f>
        <v>46246</v>
      </c>
      <c r="C259" s="25" t="n">
        <v>13</v>
      </c>
    </row>
    <row r="260" customFormat="false" ht="15" hidden="false" customHeight="false" outlineLevel="0" collapsed="false">
      <c r="A260" s="25" t="s">
        <v>110</v>
      </c>
      <c r="B260" s="26" t="n">
        <f aca="false">PlanDate-64</f>
        <v>46247</v>
      </c>
      <c r="C260" s="25" t="n">
        <v>6</v>
      </c>
    </row>
    <row r="261" customFormat="false" ht="15" hidden="false" customHeight="false" outlineLevel="0" collapsed="false">
      <c r="A261" s="25" t="s">
        <v>110</v>
      </c>
      <c r="B261" s="26" t="n">
        <f aca="false">PlanDate-63</f>
        <v>46248</v>
      </c>
      <c r="C261" s="25" t="n">
        <v>6</v>
      </c>
    </row>
    <row r="262" customFormat="false" ht="15" hidden="false" customHeight="false" outlineLevel="0" collapsed="false">
      <c r="A262" s="25" t="s">
        <v>110</v>
      </c>
      <c r="B262" s="26" t="n">
        <f aca="false">PlanDate-62</f>
        <v>46249</v>
      </c>
      <c r="C262" s="25" t="n">
        <v>10</v>
      </c>
    </row>
    <row r="263" customFormat="false" ht="15" hidden="false" customHeight="false" outlineLevel="0" collapsed="false">
      <c r="A263" s="25" t="s">
        <v>110</v>
      </c>
      <c r="B263" s="26" t="n">
        <f aca="false">PlanDate-61</f>
        <v>46250</v>
      </c>
      <c r="C263" s="25" t="n">
        <v>10</v>
      </c>
    </row>
    <row r="264" customFormat="false" ht="15" hidden="false" customHeight="false" outlineLevel="0" collapsed="false">
      <c r="A264" s="25" t="s">
        <v>110</v>
      </c>
      <c r="B264" s="26" t="n">
        <f aca="false">PlanDate-60</f>
        <v>46251</v>
      </c>
      <c r="C264" s="25" t="n">
        <v>12</v>
      </c>
    </row>
    <row r="265" customFormat="false" ht="15" hidden="false" customHeight="false" outlineLevel="0" collapsed="false">
      <c r="A265" s="25" t="s">
        <v>110</v>
      </c>
      <c r="B265" s="26" t="n">
        <f aca="false">PlanDate-59</f>
        <v>46252</v>
      </c>
      <c r="C265" s="25" t="n">
        <v>14</v>
      </c>
    </row>
    <row r="266" customFormat="false" ht="15" hidden="false" customHeight="false" outlineLevel="0" collapsed="false">
      <c r="A266" s="25" t="s">
        <v>110</v>
      </c>
      <c r="B266" s="26" t="n">
        <f aca="false">PlanDate-56</f>
        <v>46255</v>
      </c>
      <c r="C266" s="25" t="n">
        <v>8</v>
      </c>
    </row>
    <row r="267" customFormat="false" ht="15" hidden="false" customHeight="false" outlineLevel="0" collapsed="false">
      <c r="A267" s="25" t="s">
        <v>110</v>
      </c>
      <c r="B267" s="26" t="n">
        <f aca="false">PlanDate-55</f>
        <v>46256</v>
      </c>
      <c r="C267" s="25" t="n">
        <v>9</v>
      </c>
    </row>
    <row r="268" customFormat="false" ht="15" hidden="false" customHeight="false" outlineLevel="0" collapsed="false">
      <c r="A268" s="25" t="s">
        <v>110</v>
      </c>
      <c r="B268" s="26" t="n">
        <f aca="false">PlanDate-51</f>
        <v>46260</v>
      </c>
      <c r="C268" s="25" t="n">
        <v>12</v>
      </c>
    </row>
    <row r="269" customFormat="false" ht="15" hidden="false" customHeight="false" outlineLevel="0" collapsed="false">
      <c r="A269" s="25" t="s">
        <v>110</v>
      </c>
      <c r="B269" s="26" t="n">
        <f aca="false">PlanDate-46</f>
        <v>46265</v>
      </c>
      <c r="C269" s="25" t="n">
        <v>12</v>
      </c>
    </row>
    <row r="270" customFormat="false" ht="15" hidden="false" customHeight="false" outlineLevel="0" collapsed="false">
      <c r="A270" s="25" t="s">
        <v>110</v>
      </c>
      <c r="B270" s="26" t="n">
        <f aca="false">PlanDate-45</f>
        <v>46266</v>
      </c>
      <c r="C270" s="25" t="n">
        <v>11</v>
      </c>
    </row>
    <row r="271" customFormat="false" ht="15" hidden="false" customHeight="false" outlineLevel="0" collapsed="false">
      <c r="A271" s="25" t="s">
        <v>110</v>
      </c>
      <c r="B271" s="26" t="n">
        <f aca="false">PlanDate-44</f>
        <v>46267</v>
      </c>
      <c r="C271" s="25" t="n">
        <v>5</v>
      </c>
    </row>
    <row r="272" customFormat="false" ht="15" hidden="false" customHeight="false" outlineLevel="0" collapsed="false">
      <c r="A272" s="25" t="s">
        <v>110</v>
      </c>
      <c r="B272" s="26" t="n">
        <f aca="false">PlanDate-43</f>
        <v>46268</v>
      </c>
      <c r="C272" s="25" t="n">
        <v>10</v>
      </c>
    </row>
    <row r="273" customFormat="false" ht="15" hidden="false" customHeight="false" outlineLevel="0" collapsed="false">
      <c r="A273" s="25" t="s">
        <v>110</v>
      </c>
      <c r="B273" s="26" t="n">
        <f aca="false">PlanDate-41</f>
        <v>46270</v>
      </c>
      <c r="C273" s="25" t="n">
        <v>10</v>
      </c>
    </row>
    <row r="274" customFormat="false" ht="15" hidden="false" customHeight="false" outlineLevel="0" collapsed="false">
      <c r="A274" s="25" t="s">
        <v>110</v>
      </c>
      <c r="B274" s="26" t="n">
        <f aca="false">PlanDate-40</f>
        <v>46271</v>
      </c>
      <c r="C274" s="25" t="n">
        <v>7</v>
      </c>
    </row>
    <row r="275" customFormat="false" ht="15" hidden="false" customHeight="false" outlineLevel="0" collapsed="false">
      <c r="A275" s="25" t="s">
        <v>110</v>
      </c>
      <c r="B275" s="26" t="n">
        <f aca="false">PlanDate-37</f>
        <v>46274</v>
      </c>
      <c r="C275" s="25" t="n">
        <v>4</v>
      </c>
    </row>
    <row r="276" customFormat="false" ht="15" hidden="false" customHeight="false" outlineLevel="0" collapsed="false">
      <c r="A276" s="25" t="s">
        <v>110</v>
      </c>
      <c r="B276" s="26" t="n">
        <f aca="false">PlanDate-36</f>
        <v>46275</v>
      </c>
      <c r="C276" s="25" t="n">
        <v>10</v>
      </c>
    </row>
    <row r="277" customFormat="false" ht="15" hidden="false" customHeight="false" outlineLevel="0" collapsed="false">
      <c r="A277" s="25" t="s">
        <v>110</v>
      </c>
      <c r="B277" s="26" t="n">
        <f aca="false">PlanDate-34</f>
        <v>46277</v>
      </c>
      <c r="C277" s="25" t="n">
        <v>10</v>
      </c>
    </row>
    <row r="278" customFormat="false" ht="15" hidden="false" customHeight="false" outlineLevel="0" collapsed="false">
      <c r="A278" s="25" t="s">
        <v>110</v>
      </c>
      <c r="B278" s="26" t="n">
        <f aca="false">PlanDate-33</f>
        <v>46278</v>
      </c>
      <c r="C278" s="25" t="n">
        <v>13</v>
      </c>
    </row>
    <row r="279" customFormat="false" ht="15" hidden="false" customHeight="false" outlineLevel="0" collapsed="false">
      <c r="A279" s="25" t="s">
        <v>110</v>
      </c>
      <c r="B279" s="26" t="n">
        <f aca="false">PlanDate-32</f>
        <v>46279</v>
      </c>
      <c r="C279" s="25" t="n">
        <v>7</v>
      </c>
    </row>
    <row r="280" customFormat="false" ht="15" hidden="false" customHeight="false" outlineLevel="0" collapsed="false">
      <c r="A280" s="25" t="s">
        <v>110</v>
      </c>
      <c r="B280" s="26" t="n">
        <f aca="false">PlanDate-31</f>
        <v>46280</v>
      </c>
      <c r="C280" s="25" t="n">
        <v>7</v>
      </c>
    </row>
    <row r="281" customFormat="false" ht="15" hidden="false" customHeight="false" outlineLevel="0" collapsed="false">
      <c r="A281" s="25" t="s">
        <v>110</v>
      </c>
      <c r="B281" s="26" t="n">
        <f aca="false">PlanDate-30</f>
        <v>46281</v>
      </c>
      <c r="C281" s="25" t="n">
        <v>12</v>
      </c>
    </row>
    <row r="282" customFormat="false" ht="15" hidden="false" customHeight="false" outlineLevel="0" collapsed="false">
      <c r="A282" s="25" t="s">
        <v>110</v>
      </c>
      <c r="B282" s="26" t="n">
        <f aca="false">PlanDate-29</f>
        <v>46282</v>
      </c>
      <c r="C282" s="25" t="n">
        <v>7</v>
      </c>
    </row>
    <row r="283" customFormat="false" ht="15" hidden="false" customHeight="false" outlineLevel="0" collapsed="false">
      <c r="A283" s="25" t="s">
        <v>110</v>
      </c>
      <c r="B283" s="26" t="n">
        <f aca="false">PlanDate-28</f>
        <v>46283</v>
      </c>
      <c r="C283" s="25" t="n">
        <v>13</v>
      </c>
    </row>
    <row r="284" customFormat="false" ht="15" hidden="false" customHeight="false" outlineLevel="0" collapsed="false">
      <c r="A284" s="25" t="s">
        <v>110</v>
      </c>
      <c r="B284" s="26" t="n">
        <f aca="false">PlanDate-25</f>
        <v>46286</v>
      </c>
      <c r="C284" s="25" t="n">
        <v>11</v>
      </c>
    </row>
    <row r="285" customFormat="false" ht="15" hidden="false" customHeight="false" outlineLevel="0" collapsed="false">
      <c r="A285" s="25" t="s">
        <v>110</v>
      </c>
      <c r="B285" s="26" t="n">
        <f aca="false">PlanDate-24</f>
        <v>46287</v>
      </c>
      <c r="C285" s="25" t="n">
        <v>10</v>
      </c>
    </row>
    <row r="286" customFormat="false" ht="15" hidden="false" customHeight="false" outlineLevel="0" collapsed="false">
      <c r="A286" s="25" t="s">
        <v>110</v>
      </c>
      <c r="B286" s="26" t="n">
        <f aca="false">PlanDate-22</f>
        <v>46289</v>
      </c>
      <c r="C286" s="25" t="n">
        <v>6</v>
      </c>
    </row>
    <row r="287" customFormat="false" ht="15" hidden="false" customHeight="false" outlineLevel="0" collapsed="false">
      <c r="A287" s="25" t="s">
        <v>110</v>
      </c>
      <c r="B287" s="26" t="n">
        <f aca="false">PlanDate-21</f>
        <v>46290</v>
      </c>
      <c r="C287" s="25" t="n">
        <v>8</v>
      </c>
    </row>
    <row r="288" customFormat="false" ht="15" hidden="false" customHeight="false" outlineLevel="0" collapsed="false">
      <c r="A288" s="25" t="s">
        <v>110</v>
      </c>
      <c r="B288" s="26" t="n">
        <f aca="false">PlanDate-20</f>
        <v>46291</v>
      </c>
      <c r="C288" s="25" t="n">
        <v>9</v>
      </c>
    </row>
    <row r="289" customFormat="false" ht="15" hidden="false" customHeight="false" outlineLevel="0" collapsed="false">
      <c r="A289" s="25" t="s">
        <v>110</v>
      </c>
      <c r="B289" s="26" t="n">
        <f aca="false">PlanDate-16</f>
        <v>46295</v>
      </c>
      <c r="C289" s="25" t="n">
        <v>11</v>
      </c>
    </row>
    <row r="290" customFormat="false" ht="15" hidden="false" customHeight="false" outlineLevel="0" collapsed="false">
      <c r="A290" s="25" t="s">
        <v>110</v>
      </c>
      <c r="B290" s="26" t="n">
        <f aca="false">PlanDate-15</f>
        <v>46296</v>
      </c>
      <c r="C290" s="25" t="n">
        <v>8</v>
      </c>
    </row>
    <row r="291" customFormat="false" ht="15" hidden="false" customHeight="false" outlineLevel="0" collapsed="false">
      <c r="A291" s="25" t="s">
        <v>110</v>
      </c>
      <c r="B291" s="26" t="n">
        <f aca="false">PlanDate-14</f>
        <v>46297</v>
      </c>
      <c r="C291" s="25" t="n">
        <v>10</v>
      </c>
    </row>
    <row r="292" customFormat="false" ht="15" hidden="false" customHeight="false" outlineLevel="0" collapsed="false">
      <c r="A292" s="25" t="s">
        <v>110</v>
      </c>
      <c r="B292" s="26" t="n">
        <f aca="false">PlanDate-13</f>
        <v>46298</v>
      </c>
      <c r="C292" s="25" t="n">
        <v>6</v>
      </c>
    </row>
    <row r="293" customFormat="false" ht="15" hidden="false" customHeight="false" outlineLevel="0" collapsed="false">
      <c r="A293" s="25" t="s">
        <v>110</v>
      </c>
      <c r="B293" s="26" t="n">
        <f aca="false">PlanDate-12</f>
        <v>46299</v>
      </c>
      <c r="C293" s="25" t="n">
        <v>5</v>
      </c>
    </row>
    <row r="294" customFormat="false" ht="15" hidden="false" customHeight="false" outlineLevel="0" collapsed="false">
      <c r="A294" s="25" t="s">
        <v>110</v>
      </c>
      <c r="B294" s="26" t="n">
        <f aca="false">PlanDate-11</f>
        <v>46300</v>
      </c>
      <c r="C294" s="25" t="n">
        <v>4</v>
      </c>
    </row>
    <row r="295" customFormat="false" ht="15" hidden="false" customHeight="false" outlineLevel="0" collapsed="false">
      <c r="A295" s="25" t="s">
        <v>110</v>
      </c>
      <c r="B295" s="26" t="n">
        <f aca="false">PlanDate-7</f>
        <v>46304</v>
      </c>
      <c r="C295" s="25" t="n">
        <v>14</v>
      </c>
    </row>
    <row r="296" customFormat="false" ht="15" hidden="false" customHeight="false" outlineLevel="0" collapsed="false">
      <c r="A296" s="25" t="s">
        <v>110</v>
      </c>
      <c r="B296" s="26" t="n">
        <f aca="false">PlanDate-6</f>
        <v>46305</v>
      </c>
      <c r="C296" s="25" t="n">
        <v>13</v>
      </c>
    </row>
    <row r="297" customFormat="false" ht="15" hidden="false" customHeight="false" outlineLevel="0" collapsed="false">
      <c r="A297" s="25" t="s">
        <v>110</v>
      </c>
      <c r="B297" s="26" t="n">
        <f aca="false">PlanDate-3</f>
        <v>46308</v>
      </c>
      <c r="C297" s="25" t="n">
        <v>11</v>
      </c>
    </row>
    <row r="298" customFormat="false" ht="15" hidden="false" customHeight="false" outlineLevel="0" collapsed="false">
      <c r="A298" s="25" t="s">
        <v>110</v>
      </c>
      <c r="B298" s="26" t="n">
        <f aca="false">PlanDate-1</f>
        <v>46310</v>
      </c>
      <c r="C298" s="25" t="n">
        <v>6</v>
      </c>
    </row>
    <row r="299" customFormat="false" ht="15" hidden="false" customHeight="false" outlineLevel="0" collapsed="false">
      <c r="A299" s="25" t="s">
        <v>112</v>
      </c>
      <c r="B299" s="26" t="n">
        <f aca="false">PlanDate-118</f>
        <v>46193</v>
      </c>
      <c r="C299" s="25" t="n">
        <v>3</v>
      </c>
    </row>
    <row r="300" customFormat="false" ht="15" hidden="false" customHeight="false" outlineLevel="0" collapsed="false">
      <c r="A300" s="25" t="s">
        <v>112</v>
      </c>
      <c r="B300" s="26" t="n">
        <f aca="false">PlanDate-116</f>
        <v>46195</v>
      </c>
      <c r="C300" s="25" t="n">
        <v>1</v>
      </c>
    </row>
    <row r="301" customFormat="false" ht="15" hidden="false" customHeight="false" outlineLevel="0" collapsed="false">
      <c r="A301" s="25" t="s">
        <v>112</v>
      </c>
      <c r="B301" s="26" t="n">
        <f aca="false">PlanDate-115</f>
        <v>46196</v>
      </c>
      <c r="C301" s="25" t="n">
        <v>3</v>
      </c>
    </row>
    <row r="302" customFormat="false" ht="15" hidden="false" customHeight="false" outlineLevel="0" collapsed="false">
      <c r="A302" s="25" t="s">
        <v>112</v>
      </c>
      <c r="B302" s="26" t="n">
        <f aca="false">PlanDate-110</f>
        <v>46201</v>
      </c>
      <c r="C302" s="25" t="n">
        <v>3</v>
      </c>
    </row>
    <row r="303" customFormat="false" ht="15" hidden="false" customHeight="false" outlineLevel="0" collapsed="false">
      <c r="A303" s="25" t="s">
        <v>112</v>
      </c>
      <c r="B303" s="26" t="n">
        <f aca="false">PlanDate-104</f>
        <v>46207</v>
      </c>
      <c r="C303" s="25" t="n">
        <v>1</v>
      </c>
    </row>
    <row r="304" customFormat="false" ht="15" hidden="false" customHeight="false" outlineLevel="0" collapsed="false">
      <c r="A304" s="25" t="s">
        <v>112</v>
      </c>
      <c r="B304" s="26" t="n">
        <f aca="false">PlanDate-102</f>
        <v>46209</v>
      </c>
      <c r="C304" s="25" t="n">
        <v>3</v>
      </c>
    </row>
    <row r="305" customFormat="false" ht="15" hidden="false" customHeight="false" outlineLevel="0" collapsed="false">
      <c r="A305" s="25" t="s">
        <v>112</v>
      </c>
      <c r="B305" s="26" t="n">
        <f aca="false">PlanDate-99</f>
        <v>46212</v>
      </c>
      <c r="C305" s="25" t="n">
        <v>1</v>
      </c>
    </row>
    <row r="306" customFormat="false" ht="15" hidden="false" customHeight="false" outlineLevel="0" collapsed="false">
      <c r="A306" s="25" t="s">
        <v>112</v>
      </c>
      <c r="B306" s="26" t="n">
        <f aca="false">PlanDate-91</f>
        <v>46220</v>
      </c>
      <c r="C306" s="25" t="n">
        <v>2</v>
      </c>
    </row>
    <row r="307" customFormat="false" ht="15" hidden="false" customHeight="false" outlineLevel="0" collapsed="false">
      <c r="A307" s="25" t="s">
        <v>112</v>
      </c>
      <c r="B307" s="26" t="n">
        <f aca="false">PlanDate-90</f>
        <v>46221</v>
      </c>
      <c r="C307" s="25" t="n">
        <v>1</v>
      </c>
    </row>
    <row r="308" customFormat="false" ht="15" hidden="false" customHeight="false" outlineLevel="0" collapsed="false">
      <c r="A308" s="25" t="s">
        <v>112</v>
      </c>
      <c r="B308" s="26" t="n">
        <f aca="false">PlanDate-87</f>
        <v>46224</v>
      </c>
      <c r="C308" s="25" t="n">
        <v>2</v>
      </c>
    </row>
    <row r="309" customFormat="false" ht="15" hidden="false" customHeight="false" outlineLevel="0" collapsed="false">
      <c r="A309" s="25" t="s">
        <v>112</v>
      </c>
      <c r="B309" s="26" t="n">
        <f aca="false">PlanDate-85</f>
        <v>46226</v>
      </c>
      <c r="C309" s="25" t="n">
        <v>3</v>
      </c>
    </row>
    <row r="310" customFormat="false" ht="15" hidden="false" customHeight="false" outlineLevel="0" collapsed="false">
      <c r="A310" s="25" t="s">
        <v>112</v>
      </c>
      <c r="B310" s="26" t="n">
        <f aca="false">PlanDate-84</f>
        <v>46227</v>
      </c>
      <c r="C310" s="25" t="n">
        <v>2</v>
      </c>
    </row>
    <row r="311" customFormat="false" ht="15" hidden="false" customHeight="false" outlineLevel="0" collapsed="false">
      <c r="A311" s="25" t="s">
        <v>112</v>
      </c>
      <c r="B311" s="26" t="n">
        <f aca="false">PlanDate-83</f>
        <v>46228</v>
      </c>
      <c r="C311" s="25" t="n">
        <v>2</v>
      </c>
    </row>
    <row r="312" customFormat="false" ht="15" hidden="false" customHeight="false" outlineLevel="0" collapsed="false">
      <c r="A312" s="25" t="s">
        <v>112</v>
      </c>
      <c r="B312" s="26" t="n">
        <f aca="false">PlanDate-82</f>
        <v>46229</v>
      </c>
      <c r="C312" s="25" t="n">
        <v>2</v>
      </c>
    </row>
    <row r="313" customFormat="false" ht="15" hidden="false" customHeight="false" outlineLevel="0" collapsed="false">
      <c r="A313" s="25" t="s">
        <v>112</v>
      </c>
      <c r="B313" s="26" t="n">
        <f aca="false">PlanDate-79</f>
        <v>46232</v>
      </c>
      <c r="C313" s="25" t="n">
        <v>3</v>
      </c>
    </row>
    <row r="314" customFormat="false" ht="15" hidden="false" customHeight="false" outlineLevel="0" collapsed="false">
      <c r="A314" s="25" t="s">
        <v>112</v>
      </c>
      <c r="B314" s="26" t="n">
        <f aca="false">PlanDate-78</f>
        <v>46233</v>
      </c>
      <c r="C314" s="25" t="n">
        <v>3</v>
      </c>
    </row>
    <row r="315" customFormat="false" ht="15" hidden="false" customHeight="false" outlineLevel="0" collapsed="false">
      <c r="A315" s="25" t="s">
        <v>112</v>
      </c>
      <c r="B315" s="26" t="n">
        <f aca="false">PlanDate-77</f>
        <v>46234</v>
      </c>
      <c r="C315" s="25" t="n">
        <v>1</v>
      </c>
    </row>
    <row r="316" customFormat="false" ht="15" hidden="false" customHeight="false" outlineLevel="0" collapsed="false">
      <c r="A316" s="25" t="s">
        <v>112</v>
      </c>
      <c r="B316" s="26" t="n">
        <f aca="false">PlanDate-74</f>
        <v>46237</v>
      </c>
      <c r="C316" s="25" t="n">
        <v>2</v>
      </c>
    </row>
    <row r="317" customFormat="false" ht="15" hidden="false" customHeight="false" outlineLevel="0" collapsed="false">
      <c r="A317" s="25" t="s">
        <v>112</v>
      </c>
      <c r="B317" s="26" t="n">
        <f aca="false">PlanDate-72</f>
        <v>46239</v>
      </c>
      <c r="C317" s="25" t="n">
        <v>1</v>
      </c>
    </row>
    <row r="318" customFormat="false" ht="15" hidden="false" customHeight="false" outlineLevel="0" collapsed="false">
      <c r="A318" s="25" t="s">
        <v>112</v>
      </c>
      <c r="B318" s="26" t="n">
        <f aca="false">PlanDate-68</f>
        <v>46243</v>
      </c>
      <c r="C318" s="25" t="n">
        <v>2</v>
      </c>
    </row>
    <row r="319" customFormat="false" ht="15" hidden="false" customHeight="false" outlineLevel="0" collapsed="false">
      <c r="A319" s="25" t="s">
        <v>112</v>
      </c>
      <c r="B319" s="26" t="n">
        <f aca="false">PlanDate-67</f>
        <v>46244</v>
      </c>
      <c r="C319" s="25" t="n">
        <v>1</v>
      </c>
    </row>
    <row r="320" customFormat="false" ht="15" hidden="false" customHeight="false" outlineLevel="0" collapsed="false">
      <c r="A320" s="25" t="s">
        <v>112</v>
      </c>
      <c r="B320" s="26" t="n">
        <f aca="false">PlanDate-62</f>
        <v>46249</v>
      </c>
      <c r="C320" s="25" t="n">
        <v>2</v>
      </c>
    </row>
    <row r="321" customFormat="false" ht="15" hidden="false" customHeight="false" outlineLevel="0" collapsed="false">
      <c r="A321" s="25" t="s">
        <v>112</v>
      </c>
      <c r="B321" s="26" t="n">
        <f aca="false">PlanDate-61</f>
        <v>46250</v>
      </c>
      <c r="C321" s="25" t="n">
        <v>3</v>
      </c>
    </row>
    <row r="322" customFormat="false" ht="15" hidden="false" customHeight="false" outlineLevel="0" collapsed="false">
      <c r="A322" s="25" t="s">
        <v>112</v>
      </c>
      <c r="B322" s="26" t="n">
        <f aca="false">PlanDate-57</f>
        <v>46254</v>
      </c>
      <c r="C322" s="25" t="n">
        <v>3</v>
      </c>
    </row>
    <row r="323" customFormat="false" ht="15" hidden="false" customHeight="false" outlineLevel="0" collapsed="false">
      <c r="A323" s="25" t="s">
        <v>112</v>
      </c>
      <c r="B323" s="26" t="n">
        <f aca="false">PlanDate-56</f>
        <v>46255</v>
      </c>
      <c r="C323" s="25" t="n">
        <v>2</v>
      </c>
    </row>
    <row r="324" customFormat="false" ht="15" hidden="false" customHeight="false" outlineLevel="0" collapsed="false">
      <c r="A324" s="25" t="s">
        <v>112</v>
      </c>
      <c r="B324" s="26" t="n">
        <f aca="false">PlanDate-55</f>
        <v>46256</v>
      </c>
      <c r="C324" s="25" t="n">
        <v>1</v>
      </c>
    </row>
    <row r="325" customFormat="false" ht="15" hidden="false" customHeight="false" outlineLevel="0" collapsed="false">
      <c r="A325" s="25" t="s">
        <v>112</v>
      </c>
      <c r="B325" s="26" t="n">
        <f aca="false">PlanDate-53</f>
        <v>46258</v>
      </c>
      <c r="C325" s="25" t="n">
        <v>3</v>
      </c>
    </row>
    <row r="326" customFormat="false" ht="15" hidden="false" customHeight="false" outlineLevel="0" collapsed="false">
      <c r="A326" s="25" t="s">
        <v>112</v>
      </c>
      <c r="B326" s="26" t="n">
        <f aca="false">PlanDate-49</f>
        <v>46262</v>
      </c>
      <c r="C326" s="25" t="n">
        <v>1</v>
      </c>
    </row>
    <row r="327" customFormat="false" ht="15" hidden="false" customHeight="false" outlineLevel="0" collapsed="false">
      <c r="A327" s="25" t="s">
        <v>112</v>
      </c>
      <c r="B327" s="26" t="n">
        <f aca="false">PlanDate-47</f>
        <v>46264</v>
      </c>
      <c r="C327" s="25" t="n">
        <v>2</v>
      </c>
    </row>
    <row r="328" customFormat="false" ht="15" hidden="false" customHeight="false" outlineLevel="0" collapsed="false">
      <c r="A328" s="25" t="s">
        <v>112</v>
      </c>
      <c r="B328" s="26" t="n">
        <f aca="false">PlanDate-42</f>
        <v>46269</v>
      </c>
      <c r="C328" s="25" t="n">
        <v>1</v>
      </c>
    </row>
    <row r="329" customFormat="false" ht="15" hidden="false" customHeight="false" outlineLevel="0" collapsed="false">
      <c r="A329" s="25" t="s">
        <v>112</v>
      </c>
      <c r="B329" s="26" t="n">
        <f aca="false">PlanDate-40</f>
        <v>46271</v>
      </c>
      <c r="C329" s="25" t="n">
        <v>1</v>
      </c>
    </row>
    <row r="330" customFormat="false" ht="15" hidden="false" customHeight="false" outlineLevel="0" collapsed="false">
      <c r="A330" s="25" t="s">
        <v>112</v>
      </c>
      <c r="B330" s="26" t="n">
        <f aca="false">PlanDate-36</f>
        <v>46275</v>
      </c>
      <c r="C330" s="25" t="n">
        <v>1</v>
      </c>
    </row>
    <row r="331" customFormat="false" ht="15" hidden="false" customHeight="false" outlineLevel="0" collapsed="false">
      <c r="A331" s="25" t="s">
        <v>112</v>
      </c>
      <c r="B331" s="26" t="n">
        <f aca="false">PlanDate-34</f>
        <v>46277</v>
      </c>
      <c r="C331" s="25" t="n">
        <v>1</v>
      </c>
    </row>
    <row r="332" customFormat="false" ht="15" hidden="false" customHeight="false" outlineLevel="0" collapsed="false">
      <c r="A332" s="25" t="s">
        <v>112</v>
      </c>
      <c r="B332" s="26" t="n">
        <f aca="false">PlanDate-33</f>
        <v>46278</v>
      </c>
      <c r="C332" s="25" t="n">
        <v>1</v>
      </c>
    </row>
    <row r="333" customFormat="false" ht="15" hidden="false" customHeight="false" outlineLevel="0" collapsed="false">
      <c r="A333" s="25" t="s">
        <v>112</v>
      </c>
      <c r="B333" s="26" t="n">
        <f aca="false">PlanDate-30</f>
        <v>46281</v>
      </c>
      <c r="C333" s="25" t="n">
        <v>2</v>
      </c>
    </row>
    <row r="334" customFormat="false" ht="15" hidden="false" customHeight="false" outlineLevel="0" collapsed="false">
      <c r="A334" s="25" t="s">
        <v>112</v>
      </c>
      <c r="B334" s="26" t="n">
        <f aca="false">PlanDate-27</f>
        <v>46284</v>
      </c>
      <c r="C334" s="25" t="n">
        <v>2</v>
      </c>
    </row>
    <row r="335" customFormat="false" ht="15" hidden="false" customHeight="false" outlineLevel="0" collapsed="false">
      <c r="A335" s="25" t="s">
        <v>112</v>
      </c>
      <c r="B335" s="26" t="n">
        <f aca="false">PlanDate-26</f>
        <v>46285</v>
      </c>
      <c r="C335" s="25" t="n">
        <v>2</v>
      </c>
    </row>
    <row r="336" customFormat="false" ht="15" hidden="false" customHeight="false" outlineLevel="0" collapsed="false">
      <c r="A336" s="25" t="s">
        <v>112</v>
      </c>
      <c r="B336" s="26" t="n">
        <f aca="false">PlanDate-24</f>
        <v>46287</v>
      </c>
      <c r="C336" s="25" t="n">
        <v>3</v>
      </c>
    </row>
    <row r="337" customFormat="false" ht="15" hidden="false" customHeight="false" outlineLevel="0" collapsed="false">
      <c r="A337" s="25" t="s">
        <v>112</v>
      </c>
      <c r="B337" s="26" t="n">
        <f aca="false">PlanDate-21</f>
        <v>46290</v>
      </c>
      <c r="C337" s="25" t="n">
        <v>1</v>
      </c>
    </row>
    <row r="338" customFormat="false" ht="15" hidden="false" customHeight="false" outlineLevel="0" collapsed="false">
      <c r="A338" s="25" t="s">
        <v>112</v>
      </c>
      <c r="B338" s="26" t="n">
        <f aca="false">PlanDate-19</f>
        <v>46292</v>
      </c>
      <c r="C338" s="25" t="n">
        <v>1</v>
      </c>
    </row>
    <row r="339" customFormat="false" ht="15" hidden="false" customHeight="false" outlineLevel="0" collapsed="false">
      <c r="A339" s="25" t="s">
        <v>112</v>
      </c>
      <c r="B339" s="26" t="n">
        <f aca="false">PlanDate-16</f>
        <v>46295</v>
      </c>
      <c r="C339" s="25" t="n">
        <v>3</v>
      </c>
    </row>
    <row r="340" customFormat="false" ht="15" hidden="false" customHeight="false" outlineLevel="0" collapsed="false">
      <c r="A340" s="25" t="s">
        <v>112</v>
      </c>
      <c r="B340" s="26" t="n">
        <f aca="false">PlanDate-10</f>
        <v>46301</v>
      </c>
      <c r="C340" s="25" t="n">
        <v>1</v>
      </c>
    </row>
    <row r="341" customFormat="false" ht="15" hidden="false" customHeight="false" outlineLevel="0" collapsed="false">
      <c r="A341" s="25" t="s">
        <v>112</v>
      </c>
      <c r="B341" s="26" t="n">
        <f aca="false">PlanDate-9</f>
        <v>46302</v>
      </c>
      <c r="C341" s="25" t="n">
        <v>2</v>
      </c>
    </row>
    <row r="342" customFormat="false" ht="15" hidden="false" customHeight="false" outlineLevel="0" collapsed="false">
      <c r="A342" s="25" t="s">
        <v>112</v>
      </c>
      <c r="B342" s="26" t="n">
        <f aca="false">PlanDate-8</f>
        <v>46303</v>
      </c>
      <c r="C342" s="25" t="n">
        <v>3</v>
      </c>
    </row>
    <row r="343" customFormat="false" ht="15" hidden="false" customHeight="false" outlineLevel="0" collapsed="false">
      <c r="A343" s="25" t="s">
        <v>112</v>
      </c>
      <c r="B343" s="26" t="n">
        <f aca="false">PlanDate-6</f>
        <v>46305</v>
      </c>
      <c r="C343" s="25" t="n">
        <v>2</v>
      </c>
    </row>
    <row r="344" customFormat="false" ht="15" hidden="false" customHeight="false" outlineLevel="0" collapsed="false">
      <c r="A344" s="25" t="s">
        <v>112</v>
      </c>
      <c r="B344" s="26" t="n">
        <f aca="false">PlanDate-5</f>
        <v>46306</v>
      </c>
      <c r="C344" s="25" t="n">
        <v>1</v>
      </c>
    </row>
    <row r="345" customFormat="false" ht="15" hidden="false" customHeight="false" outlineLevel="0" collapsed="false">
      <c r="A345" s="25" t="s">
        <v>112</v>
      </c>
      <c r="B345" s="26" t="n">
        <f aca="false">PlanDate-4</f>
        <v>46307</v>
      </c>
      <c r="C345" s="25" t="n">
        <v>2</v>
      </c>
    </row>
    <row r="346" customFormat="false" ht="15" hidden="false" customHeight="false" outlineLevel="0" collapsed="false">
      <c r="A346" s="25" t="s">
        <v>112</v>
      </c>
      <c r="B346" s="26" t="n">
        <f aca="false">PlanDate-1</f>
        <v>46310</v>
      </c>
      <c r="C346" s="25" t="n">
        <v>2</v>
      </c>
    </row>
    <row r="347" customFormat="false" ht="15" hidden="false" customHeight="false" outlineLevel="0" collapsed="false">
      <c r="A347" s="25" t="s">
        <v>114</v>
      </c>
      <c r="B347" s="26" t="n">
        <f aca="false">PlanDate-120</f>
        <v>46191</v>
      </c>
      <c r="C347" s="25" t="n">
        <v>6</v>
      </c>
    </row>
    <row r="348" customFormat="false" ht="15" hidden="false" customHeight="false" outlineLevel="0" collapsed="false">
      <c r="A348" s="25" t="s">
        <v>114</v>
      </c>
      <c r="B348" s="26" t="n">
        <f aca="false">PlanDate-118</f>
        <v>46193</v>
      </c>
      <c r="C348" s="25" t="n">
        <v>6</v>
      </c>
    </row>
    <row r="349" customFormat="false" ht="15" hidden="false" customHeight="false" outlineLevel="0" collapsed="false">
      <c r="A349" s="25" t="s">
        <v>114</v>
      </c>
      <c r="B349" s="26" t="n">
        <f aca="false">PlanDate-117</f>
        <v>46194</v>
      </c>
      <c r="C349" s="25" t="n">
        <v>5</v>
      </c>
    </row>
    <row r="350" customFormat="false" ht="15" hidden="false" customHeight="false" outlineLevel="0" collapsed="false">
      <c r="A350" s="25" t="s">
        <v>114</v>
      </c>
      <c r="B350" s="26" t="n">
        <f aca="false">PlanDate-116</f>
        <v>46195</v>
      </c>
      <c r="C350" s="25" t="n">
        <v>7</v>
      </c>
    </row>
    <row r="351" customFormat="false" ht="15" hidden="false" customHeight="false" outlineLevel="0" collapsed="false">
      <c r="A351" s="25" t="s">
        <v>114</v>
      </c>
      <c r="B351" s="26" t="n">
        <f aca="false">PlanDate-114</f>
        <v>46197</v>
      </c>
      <c r="C351" s="25" t="n">
        <v>6</v>
      </c>
    </row>
    <row r="352" customFormat="false" ht="15" hidden="false" customHeight="false" outlineLevel="0" collapsed="false">
      <c r="A352" s="25" t="s">
        <v>114</v>
      </c>
      <c r="B352" s="26" t="n">
        <f aca="false">PlanDate-113</f>
        <v>46198</v>
      </c>
      <c r="C352" s="25" t="n">
        <v>6</v>
      </c>
    </row>
    <row r="353" customFormat="false" ht="15" hidden="false" customHeight="false" outlineLevel="0" collapsed="false">
      <c r="A353" s="25" t="s">
        <v>114</v>
      </c>
      <c r="B353" s="26" t="n">
        <f aca="false">PlanDate-111</f>
        <v>46200</v>
      </c>
      <c r="C353" s="25" t="n">
        <v>5</v>
      </c>
    </row>
    <row r="354" customFormat="false" ht="15" hidden="false" customHeight="false" outlineLevel="0" collapsed="false">
      <c r="A354" s="25" t="s">
        <v>114</v>
      </c>
      <c r="B354" s="26" t="n">
        <f aca="false">PlanDate-110</f>
        <v>46201</v>
      </c>
      <c r="C354" s="25" t="n">
        <v>6</v>
      </c>
    </row>
    <row r="355" customFormat="false" ht="15" hidden="false" customHeight="false" outlineLevel="0" collapsed="false">
      <c r="A355" s="25" t="s">
        <v>114</v>
      </c>
      <c r="B355" s="26" t="n">
        <f aca="false">PlanDate-109</f>
        <v>46202</v>
      </c>
      <c r="C355" s="25" t="n">
        <v>7</v>
      </c>
    </row>
    <row r="356" customFormat="false" ht="15" hidden="false" customHeight="false" outlineLevel="0" collapsed="false">
      <c r="A356" s="25" t="s">
        <v>114</v>
      </c>
      <c r="B356" s="26" t="n">
        <f aca="false">PlanDate-108</f>
        <v>46203</v>
      </c>
      <c r="C356" s="25" t="n">
        <v>5</v>
      </c>
    </row>
    <row r="357" customFormat="false" ht="15" hidden="false" customHeight="false" outlineLevel="0" collapsed="false">
      <c r="A357" s="25" t="s">
        <v>114</v>
      </c>
      <c r="B357" s="26" t="n">
        <f aca="false">PlanDate-107</f>
        <v>46204</v>
      </c>
      <c r="C357" s="25" t="n">
        <v>7</v>
      </c>
    </row>
    <row r="358" customFormat="false" ht="15" hidden="false" customHeight="false" outlineLevel="0" collapsed="false">
      <c r="A358" s="25" t="s">
        <v>114</v>
      </c>
      <c r="B358" s="26" t="n">
        <f aca="false">PlanDate-106</f>
        <v>46205</v>
      </c>
      <c r="C358" s="25" t="n">
        <v>6</v>
      </c>
    </row>
    <row r="359" customFormat="false" ht="15" hidden="false" customHeight="false" outlineLevel="0" collapsed="false">
      <c r="A359" s="25" t="s">
        <v>114</v>
      </c>
      <c r="B359" s="26" t="n">
        <f aca="false">PlanDate-105</f>
        <v>46206</v>
      </c>
      <c r="C359" s="25" t="n">
        <v>5</v>
      </c>
    </row>
    <row r="360" customFormat="false" ht="15" hidden="false" customHeight="false" outlineLevel="0" collapsed="false">
      <c r="A360" s="25" t="s">
        <v>114</v>
      </c>
      <c r="B360" s="26" t="n">
        <f aca="false">PlanDate-104</f>
        <v>46207</v>
      </c>
      <c r="C360" s="25" t="n">
        <v>3</v>
      </c>
    </row>
    <row r="361" customFormat="false" ht="15" hidden="false" customHeight="false" outlineLevel="0" collapsed="false">
      <c r="A361" s="25" t="s">
        <v>114</v>
      </c>
      <c r="B361" s="26" t="n">
        <f aca="false">PlanDate-103</f>
        <v>46208</v>
      </c>
      <c r="C361" s="25" t="n">
        <v>6</v>
      </c>
    </row>
    <row r="362" customFormat="false" ht="15" hidden="false" customHeight="false" outlineLevel="0" collapsed="false">
      <c r="A362" s="25" t="s">
        <v>114</v>
      </c>
      <c r="B362" s="26" t="n">
        <f aca="false">PlanDate-102</f>
        <v>46209</v>
      </c>
      <c r="C362" s="25" t="n">
        <v>4</v>
      </c>
    </row>
    <row r="363" customFormat="false" ht="15" hidden="false" customHeight="false" outlineLevel="0" collapsed="false">
      <c r="A363" s="25" t="s">
        <v>114</v>
      </c>
      <c r="B363" s="26" t="n">
        <f aca="false">PlanDate-101</f>
        <v>46210</v>
      </c>
      <c r="C363" s="25" t="n">
        <v>7</v>
      </c>
    </row>
    <row r="364" customFormat="false" ht="15" hidden="false" customHeight="false" outlineLevel="0" collapsed="false">
      <c r="A364" s="25" t="s">
        <v>114</v>
      </c>
      <c r="B364" s="26" t="n">
        <f aca="false">PlanDate-98</f>
        <v>46213</v>
      </c>
      <c r="C364" s="25" t="n">
        <v>6</v>
      </c>
    </row>
    <row r="365" customFormat="false" ht="15" hidden="false" customHeight="false" outlineLevel="0" collapsed="false">
      <c r="A365" s="25" t="s">
        <v>114</v>
      </c>
      <c r="B365" s="26" t="n">
        <f aca="false">PlanDate-97</f>
        <v>46214</v>
      </c>
      <c r="C365" s="25" t="n">
        <v>7</v>
      </c>
    </row>
    <row r="366" customFormat="false" ht="15" hidden="false" customHeight="false" outlineLevel="0" collapsed="false">
      <c r="A366" s="25" t="s">
        <v>114</v>
      </c>
      <c r="B366" s="26" t="n">
        <f aca="false">PlanDate-96</f>
        <v>46215</v>
      </c>
      <c r="C366" s="25" t="n">
        <v>3</v>
      </c>
    </row>
    <row r="367" customFormat="false" ht="15" hidden="false" customHeight="false" outlineLevel="0" collapsed="false">
      <c r="A367" s="25" t="s">
        <v>114</v>
      </c>
      <c r="B367" s="26" t="n">
        <f aca="false">PlanDate-95</f>
        <v>46216</v>
      </c>
      <c r="C367" s="25" t="n">
        <v>5</v>
      </c>
    </row>
    <row r="368" customFormat="false" ht="15" hidden="false" customHeight="false" outlineLevel="0" collapsed="false">
      <c r="A368" s="25" t="s">
        <v>114</v>
      </c>
      <c r="B368" s="26" t="n">
        <f aca="false">PlanDate-94</f>
        <v>46217</v>
      </c>
      <c r="C368" s="25" t="n">
        <v>3</v>
      </c>
    </row>
    <row r="369" customFormat="false" ht="15" hidden="false" customHeight="false" outlineLevel="0" collapsed="false">
      <c r="A369" s="25" t="s">
        <v>114</v>
      </c>
      <c r="B369" s="26" t="n">
        <f aca="false">PlanDate-93</f>
        <v>46218</v>
      </c>
      <c r="C369" s="25" t="n">
        <v>6</v>
      </c>
    </row>
    <row r="370" customFormat="false" ht="15" hidden="false" customHeight="false" outlineLevel="0" collapsed="false">
      <c r="A370" s="25" t="s">
        <v>114</v>
      </c>
      <c r="B370" s="26" t="n">
        <f aca="false">PlanDate-92</f>
        <v>46219</v>
      </c>
      <c r="C370" s="25" t="n">
        <v>6</v>
      </c>
    </row>
    <row r="371" customFormat="false" ht="15" hidden="false" customHeight="false" outlineLevel="0" collapsed="false">
      <c r="A371" s="25" t="s">
        <v>114</v>
      </c>
      <c r="B371" s="26" t="n">
        <f aca="false">PlanDate-91</f>
        <v>46220</v>
      </c>
      <c r="C371" s="25" t="n">
        <v>6</v>
      </c>
    </row>
    <row r="372" customFormat="false" ht="15" hidden="false" customHeight="false" outlineLevel="0" collapsed="false">
      <c r="A372" s="25" t="s">
        <v>114</v>
      </c>
      <c r="B372" s="26" t="n">
        <f aca="false">PlanDate-90</f>
        <v>46221</v>
      </c>
      <c r="C372" s="25" t="n">
        <v>3</v>
      </c>
    </row>
    <row r="373" customFormat="false" ht="15" hidden="false" customHeight="false" outlineLevel="0" collapsed="false">
      <c r="A373" s="25" t="s">
        <v>114</v>
      </c>
      <c r="B373" s="26" t="n">
        <f aca="false">PlanDate-89</f>
        <v>46222</v>
      </c>
      <c r="C373" s="25" t="n">
        <v>6</v>
      </c>
    </row>
    <row r="374" customFormat="false" ht="15" hidden="false" customHeight="false" outlineLevel="0" collapsed="false">
      <c r="A374" s="25" t="s">
        <v>114</v>
      </c>
      <c r="B374" s="26" t="n">
        <f aca="false">PlanDate-88</f>
        <v>46223</v>
      </c>
      <c r="C374" s="25" t="n">
        <v>4</v>
      </c>
    </row>
    <row r="375" customFormat="false" ht="15" hidden="false" customHeight="false" outlineLevel="0" collapsed="false">
      <c r="A375" s="25" t="s">
        <v>114</v>
      </c>
      <c r="B375" s="26" t="n">
        <f aca="false">PlanDate-87</f>
        <v>46224</v>
      </c>
      <c r="C375" s="25" t="n">
        <v>4</v>
      </c>
    </row>
    <row r="376" customFormat="false" ht="15" hidden="false" customHeight="false" outlineLevel="0" collapsed="false">
      <c r="A376" s="25" t="s">
        <v>114</v>
      </c>
      <c r="B376" s="26" t="n">
        <f aca="false">PlanDate-86</f>
        <v>46225</v>
      </c>
      <c r="C376" s="25" t="n">
        <v>3</v>
      </c>
    </row>
    <row r="377" customFormat="false" ht="15" hidden="false" customHeight="false" outlineLevel="0" collapsed="false">
      <c r="A377" s="25" t="s">
        <v>114</v>
      </c>
      <c r="B377" s="26" t="n">
        <f aca="false">PlanDate-85</f>
        <v>46226</v>
      </c>
      <c r="C377" s="25" t="n">
        <v>4</v>
      </c>
    </row>
    <row r="378" customFormat="false" ht="15" hidden="false" customHeight="false" outlineLevel="0" collapsed="false">
      <c r="A378" s="25" t="s">
        <v>114</v>
      </c>
      <c r="B378" s="26" t="n">
        <f aca="false">PlanDate-84</f>
        <v>46227</v>
      </c>
      <c r="C378" s="25" t="n">
        <v>3</v>
      </c>
    </row>
    <row r="379" customFormat="false" ht="15" hidden="false" customHeight="false" outlineLevel="0" collapsed="false">
      <c r="A379" s="25" t="s">
        <v>114</v>
      </c>
      <c r="B379" s="26" t="n">
        <f aca="false">PlanDate-83</f>
        <v>46228</v>
      </c>
      <c r="C379" s="25" t="n">
        <v>4</v>
      </c>
    </row>
    <row r="380" customFormat="false" ht="15" hidden="false" customHeight="false" outlineLevel="0" collapsed="false">
      <c r="A380" s="25" t="s">
        <v>114</v>
      </c>
      <c r="B380" s="26" t="n">
        <f aca="false">PlanDate-82</f>
        <v>46229</v>
      </c>
      <c r="C380" s="25" t="n">
        <v>6</v>
      </c>
    </row>
    <row r="381" customFormat="false" ht="15" hidden="false" customHeight="false" outlineLevel="0" collapsed="false">
      <c r="A381" s="25" t="s">
        <v>114</v>
      </c>
      <c r="B381" s="26" t="n">
        <f aca="false">PlanDate-81</f>
        <v>46230</v>
      </c>
      <c r="C381" s="25" t="n">
        <v>3</v>
      </c>
    </row>
    <row r="382" customFormat="false" ht="15" hidden="false" customHeight="false" outlineLevel="0" collapsed="false">
      <c r="A382" s="25" t="s">
        <v>114</v>
      </c>
      <c r="B382" s="26" t="n">
        <f aca="false">PlanDate-79</f>
        <v>46232</v>
      </c>
      <c r="C382" s="25" t="n">
        <v>3</v>
      </c>
    </row>
    <row r="383" customFormat="false" ht="15" hidden="false" customHeight="false" outlineLevel="0" collapsed="false">
      <c r="A383" s="25" t="s">
        <v>114</v>
      </c>
      <c r="B383" s="26" t="n">
        <f aca="false">PlanDate-78</f>
        <v>46233</v>
      </c>
      <c r="C383" s="25" t="n">
        <v>5</v>
      </c>
    </row>
    <row r="384" customFormat="false" ht="15" hidden="false" customHeight="false" outlineLevel="0" collapsed="false">
      <c r="A384" s="25" t="s">
        <v>114</v>
      </c>
      <c r="B384" s="26" t="n">
        <f aca="false">PlanDate-77</f>
        <v>46234</v>
      </c>
      <c r="C384" s="25" t="n">
        <v>5</v>
      </c>
    </row>
    <row r="385" customFormat="false" ht="15" hidden="false" customHeight="false" outlineLevel="0" collapsed="false">
      <c r="A385" s="25" t="s">
        <v>114</v>
      </c>
      <c r="B385" s="26" t="n">
        <f aca="false">PlanDate-76</f>
        <v>46235</v>
      </c>
      <c r="C385" s="25" t="n">
        <v>6</v>
      </c>
    </row>
    <row r="386" customFormat="false" ht="15" hidden="false" customHeight="false" outlineLevel="0" collapsed="false">
      <c r="A386" s="25" t="s">
        <v>114</v>
      </c>
      <c r="B386" s="26" t="n">
        <f aca="false">PlanDate-75</f>
        <v>46236</v>
      </c>
      <c r="C386" s="25" t="n">
        <v>6</v>
      </c>
    </row>
    <row r="387" customFormat="false" ht="15" hidden="false" customHeight="false" outlineLevel="0" collapsed="false">
      <c r="A387" s="25" t="s">
        <v>114</v>
      </c>
      <c r="B387" s="26" t="n">
        <f aca="false">PlanDate-74</f>
        <v>46237</v>
      </c>
      <c r="C387" s="25" t="n">
        <v>6</v>
      </c>
    </row>
    <row r="388" customFormat="false" ht="15" hidden="false" customHeight="false" outlineLevel="0" collapsed="false">
      <c r="A388" s="25" t="s">
        <v>114</v>
      </c>
      <c r="B388" s="26" t="n">
        <f aca="false">PlanDate-73</f>
        <v>46238</v>
      </c>
      <c r="C388" s="25" t="n">
        <v>3</v>
      </c>
    </row>
    <row r="389" customFormat="false" ht="15" hidden="false" customHeight="false" outlineLevel="0" collapsed="false">
      <c r="A389" s="25" t="s">
        <v>114</v>
      </c>
      <c r="B389" s="26" t="n">
        <f aca="false">PlanDate-72</f>
        <v>46239</v>
      </c>
      <c r="C389" s="25" t="n">
        <v>3</v>
      </c>
    </row>
    <row r="390" customFormat="false" ht="15" hidden="false" customHeight="false" outlineLevel="0" collapsed="false">
      <c r="A390" s="25" t="s">
        <v>114</v>
      </c>
      <c r="B390" s="26" t="n">
        <f aca="false">PlanDate-70</f>
        <v>46241</v>
      </c>
      <c r="C390" s="25" t="n">
        <v>5</v>
      </c>
    </row>
    <row r="391" customFormat="false" ht="15" hidden="false" customHeight="false" outlineLevel="0" collapsed="false">
      <c r="A391" s="25" t="s">
        <v>114</v>
      </c>
      <c r="B391" s="26" t="n">
        <f aca="false">PlanDate-69</f>
        <v>46242</v>
      </c>
      <c r="C391" s="25" t="n">
        <v>4</v>
      </c>
    </row>
    <row r="392" customFormat="false" ht="15" hidden="false" customHeight="false" outlineLevel="0" collapsed="false">
      <c r="A392" s="25" t="s">
        <v>114</v>
      </c>
      <c r="B392" s="26" t="n">
        <f aca="false">PlanDate-68</f>
        <v>46243</v>
      </c>
      <c r="C392" s="25" t="n">
        <v>4</v>
      </c>
    </row>
    <row r="393" customFormat="false" ht="15" hidden="false" customHeight="false" outlineLevel="0" collapsed="false">
      <c r="A393" s="25" t="s">
        <v>114</v>
      </c>
      <c r="B393" s="26" t="n">
        <f aca="false">PlanDate-67</f>
        <v>46244</v>
      </c>
      <c r="C393" s="25" t="n">
        <v>7</v>
      </c>
    </row>
    <row r="394" customFormat="false" ht="15" hidden="false" customHeight="false" outlineLevel="0" collapsed="false">
      <c r="A394" s="25" t="s">
        <v>114</v>
      </c>
      <c r="B394" s="26" t="n">
        <f aca="false">PlanDate-66</f>
        <v>46245</v>
      </c>
      <c r="C394" s="25" t="n">
        <v>5</v>
      </c>
    </row>
    <row r="395" customFormat="false" ht="15" hidden="false" customHeight="false" outlineLevel="0" collapsed="false">
      <c r="A395" s="25" t="s">
        <v>114</v>
      </c>
      <c r="B395" s="26" t="n">
        <f aca="false">PlanDate-64</f>
        <v>46247</v>
      </c>
      <c r="C395" s="25" t="n">
        <v>7</v>
      </c>
    </row>
    <row r="396" customFormat="false" ht="15" hidden="false" customHeight="false" outlineLevel="0" collapsed="false">
      <c r="A396" s="25" t="s">
        <v>114</v>
      </c>
      <c r="B396" s="26" t="n">
        <f aca="false">PlanDate-63</f>
        <v>46248</v>
      </c>
      <c r="C396" s="25" t="n">
        <v>6</v>
      </c>
    </row>
    <row r="397" customFormat="false" ht="15" hidden="false" customHeight="false" outlineLevel="0" collapsed="false">
      <c r="A397" s="25" t="s">
        <v>114</v>
      </c>
      <c r="B397" s="26" t="n">
        <f aca="false">PlanDate-61</f>
        <v>46250</v>
      </c>
      <c r="C397" s="25" t="n">
        <v>7</v>
      </c>
    </row>
    <row r="398" customFormat="false" ht="15" hidden="false" customHeight="false" outlineLevel="0" collapsed="false">
      <c r="A398" s="25" t="s">
        <v>114</v>
      </c>
      <c r="B398" s="26" t="n">
        <f aca="false">PlanDate-60</f>
        <v>46251</v>
      </c>
      <c r="C398" s="25" t="n">
        <v>5</v>
      </c>
    </row>
    <row r="399" customFormat="false" ht="15" hidden="false" customHeight="false" outlineLevel="0" collapsed="false">
      <c r="A399" s="25" t="s">
        <v>114</v>
      </c>
      <c r="B399" s="26" t="n">
        <f aca="false">PlanDate-58</f>
        <v>46253</v>
      </c>
      <c r="C399" s="25" t="n">
        <v>5</v>
      </c>
    </row>
    <row r="400" customFormat="false" ht="15" hidden="false" customHeight="false" outlineLevel="0" collapsed="false">
      <c r="A400" s="25" t="s">
        <v>114</v>
      </c>
      <c r="B400" s="26" t="n">
        <f aca="false">PlanDate-56</f>
        <v>46255</v>
      </c>
      <c r="C400" s="25" t="n">
        <v>6</v>
      </c>
    </row>
    <row r="401" customFormat="false" ht="15" hidden="false" customHeight="false" outlineLevel="0" collapsed="false">
      <c r="A401" s="25" t="s">
        <v>114</v>
      </c>
      <c r="B401" s="26" t="n">
        <f aca="false">PlanDate-55</f>
        <v>46256</v>
      </c>
      <c r="C401" s="25" t="n">
        <v>5</v>
      </c>
    </row>
    <row r="402" customFormat="false" ht="15" hidden="false" customHeight="false" outlineLevel="0" collapsed="false">
      <c r="A402" s="25" t="s">
        <v>114</v>
      </c>
      <c r="B402" s="26" t="n">
        <f aca="false">PlanDate-54</f>
        <v>46257</v>
      </c>
      <c r="C402" s="25" t="n">
        <v>6</v>
      </c>
    </row>
    <row r="403" customFormat="false" ht="15" hidden="false" customHeight="false" outlineLevel="0" collapsed="false">
      <c r="A403" s="25" t="s">
        <v>114</v>
      </c>
      <c r="B403" s="26" t="n">
        <f aca="false">PlanDate-52</f>
        <v>46259</v>
      </c>
      <c r="C403" s="25" t="n">
        <v>4</v>
      </c>
    </row>
    <row r="404" customFormat="false" ht="15" hidden="false" customHeight="false" outlineLevel="0" collapsed="false">
      <c r="A404" s="25" t="s">
        <v>114</v>
      </c>
      <c r="B404" s="26" t="n">
        <f aca="false">PlanDate-51</f>
        <v>46260</v>
      </c>
      <c r="C404" s="25" t="n">
        <v>6</v>
      </c>
    </row>
    <row r="405" customFormat="false" ht="15" hidden="false" customHeight="false" outlineLevel="0" collapsed="false">
      <c r="A405" s="25" t="s">
        <v>114</v>
      </c>
      <c r="B405" s="26" t="n">
        <f aca="false">PlanDate-50</f>
        <v>46261</v>
      </c>
      <c r="C405" s="25" t="n">
        <v>7</v>
      </c>
    </row>
    <row r="406" customFormat="false" ht="15" hidden="false" customHeight="false" outlineLevel="0" collapsed="false">
      <c r="A406" s="25" t="s">
        <v>114</v>
      </c>
      <c r="B406" s="26" t="n">
        <f aca="false">PlanDate-49</f>
        <v>46262</v>
      </c>
      <c r="C406" s="25" t="n">
        <v>4</v>
      </c>
    </row>
    <row r="407" customFormat="false" ht="15" hidden="false" customHeight="false" outlineLevel="0" collapsed="false">
      <c r="A407" s="25" t="s">
        <v>114</v>
      </c>
      <c r="B407" s="26" t="n">
        <f aca="false">PlanDate-48</f>
        <v>46263</v>
      </c>
      <c r="C407" s="25" t="n">
        <v>6</v>
      </c>
    </row>
    <row r="408" customFormat="false" ht="15" hidden="false" customHeight="false" outlineLevel="0" collapsed="false">
      <c r="A408" s="25" t="s">
        <v>114</v>
      </c>
      <c r="B408" s="26" t="n">
        <f aca="false">PlanDate-47</f>
        <v>46264</v>
      </c>
      <c r="C408" s="25" t="n">
        <v>5</v>
      </c>
    </row>
    <row r="409" customFormat="false" ht="15" hidden="false" customHeight="false" outlineLevel="0" collapsed="false">
      <c r="A409" s="25" t="s">
        <v>114</v>
      </c>
      <c r="B409" s="26" t="n">
        <f aca="false">PlanDate-46</f>
        <v>46265</v>
      </c>
      <c r="C409" s="25" t="n">
        <v>3</v>
      </c>
    </row>
    <row r="410" customFormat="false" ht="15" hidden="false" customHeight="false" outlineLevel="0" collapsed="false">
      <c r="A410" s="25" t="s">
        <v>114</v>
      </c>
      <c r="B410" s="26" t="n">
        <f aca="false">PlanDate-44</f>
        <v>46267</v>
      </c>
      <c r="C410" s="25" t="n">
        <v>4</v>
      </c>
    </row>
    <row r="411" customFormat="false" ht="15" hidden="false" customHeight="false" outlineLevel="0" collapsed="false">
      <c r="A411" s="25" t="s">
        <v>114</v>
      </c>
      <c r="B411" s="26" t="n">
        <f aca="false">PlanDate-43</f>
        <v>46268</v>
      </c>
      <c r="C411" s="25" t="n">
        <v>7</v>
      </c>
    </row>
    <row r="412" customFormat="false" ht="15" hidden="false" customHeight="false" outlineLevel="0" collapsed="false">
      <c r="A412" s="25" t="s">
        <v>114</v>
      </c>
      <c r="B412" s="26" t="n">
        <f aca="false">PlanDate-42</f>
        <v>46269</v>
      </c>
      <c r="C412" s="25" t="n">
        <v>3</v>
      </c>
    </row>
    <row r="413" customFormat="false" ht="15" hidden="false" customHeight="false" outlineLevel="0" collapsed="false">
      <c r="A413" s="25" t="s">
        <v>114</v>
      </c>
      <c r="B413" s="26" t="n">
        <f aca="false">PlanDate-40</f>
        <v>46271</v>
      </c>
      <c r="C413" s="25" t="n">
        <v>4</v>
      </c>
    </row>
    <row r="414" customFormat="false" ht="15" hidden="false" customHeight="false" outlineLevel="0" collapsed="false">
      <c r="A414" s="25" t="s">
        <v>114</v>
      </c>
      <c r="B414" s="26" t="n">
        <f aca="false">PlanDate-39</f>
        <v>46272</v>
      </c>
      <c r="C414" s="25" t="n">
        <v>3</v>
      </c>
    </row>
    <row r="415" customFormat="false" ht="15" hidden="false" customHeight="false" outlineLevel="0" collapsed="false">
      <c r="A415" s="25" t="s">
        <v>114</v>
      </c>
      <c r="B415" s="26" t="n">
        <f aca="false">PlanDate-38</f>
        <v>46273</v>
      </c>
      <c r="C415" s="25" t="n">
        <v>7</v>
      </c>
    </row>
    <row r="416" customFormat="false" ht="15" hidden="false" customHeight="false" outlineLevel="0" collapsed="false">
      <c r="A416" s="25" t="s">
        <v>114</v>
      </c>
      <c r="B416" s="26" t="n">
        <f aca="false">PlanDate-37</f>
        <v>46274</v>
      </c>
      <c r="C416" s="25" t="n">
        <v>6</v>
      </c>
    </row>
    <row r="417" customFormat="false" ht="15" hidden="false" customHeight="false" outlineLevel="0" collapsed="false">
      <c r="A417" s="25" t="s">
        <v>114</v>
      </c>
      <c r="B417" s="26" t="n">
        <f aca="false">PlanDate-36</f>
        <v>46275</v>
      </c>
      <c r="C417" s="25" t="n">
        <v>5</v>
      </c>
    </row>
    <row r="418" customFormat="false" ht="15" hidden="false" customHeight="false" outlineLevel="0" collapsed="false">
      <c r="A418" s="25" t="s">
        <v>114</v>
      </c>
      <c r="B418" s="26" t="n">
        <f aca="false">PlanDate-35</f>
        <v>46276</v>
      </c>
      <c r="C418" s="25" t="n">
        <v>6</v>
      </c>
    </row>
    <row r="419" customFormat="false" ht="15" hidden="false" customHeight="false" outlineLevel="0" collapsed="false">
      <c r="A419" s="25" t="s">
        <v>114</v>
      </c>
      <c r="B419" s="26" t="n">
        <f aca="false">PlanDate-34</f>
        <v>46277</v>
      </c>
      <c r="C419" s="25" t="n">
        <v>4</v>
      </c>
    </row>
    <row r="420" customFormat="false" ht="15" hidden="false" customHeight="false" outlineLevel="0" collapsed="false">
      <c r="A420" s="25" t="s">
        <v>114</v>
      </c>
      <c r="B420" s="26" t="n">
        <f aca="false">PlanDate-33</f>
        <v>46278</v>
      </c>
      <c r="C420" s="25" t="n">
        <v>3</v>
      </c>
    </row>
    <row r="421" customFormat="false" ht="15" hidden="false" customHeight="false" outlineLevel="0" collapsed="false">
      <c r="A421" s="25" t="s">
        <v>114</v>
      </c>
      <c r="B421" s="26" t="n">
        <f aca="false">PlanDate-32</f>
        <v>46279</v>
      </c>
      <c r="C421" s="25" t="n">
        <v>6</v>
      </c>
    </row>
    <row r="422" customFormat="false" ht="15" hidden="false" customHeight="false" outlineLevel="0" collapsed="false">
      <c r="A422" s="25" t="s">
        <v>114</v>
      </c>
      <c r="B422" s="26" t="n">
        <f aca="false">PlanDate-31</f>
        <v>46280</v>
      </c>
      <c r="C422" s="25" t="n">
        <v>5</v>
      </c>
    </row>
    <row r="423" customFormat="false" ht="15" hidden="false" customHeight="false" outlineLevel="0" collapsed="false">
      <c r="A423" s="25" t="s">
        <v>114</v>
      </c>
      <c r="B423" s="26" t="n">
        <f aca="false">PlanDate-30</f>
        <v>46281</v>
      </c>
      <c r="C423" s="25" t="n">
        <v>7</v>
      </c>
    </row>
    <row r="424" customFormat="false" ht="15" hidden="false" customHeight="false" outlineLevel="0" collapsed="false">
      <c r="A424" s="25" t="s">
        <v>114</v>
      </c>
      <c r="B424" s="26" t="n">
        <f aca="false">PlanDate-29</f>
        <v>46282</v>
      </c>
      <c r="C424" s="25" t="n">
        <v>6</v>
      </c>
    </row>
    <row r="425" customFormat="false" ht="15" hidden="false" customHeight="false" outlineLevel="0" collapsed="false">
      <c r="A425" s="25" t="s">
        <v>114</v>
      </c>
      <c r="B425" s="26" t="n">
        <f aca="false">PlanDate-28</f>
        <v>46283</v>
      </c>
      <c r="C425" s="25" t="n">
        <v>5</v>
      </c>
    </row>
    <row r="426" customFormat="false" ht="15" hidden="false" customHeight="false" outlineLevel="0" collapsed="false">
      <c r="A426" s="25" t="s">
        <v>114</v>
      </c>
      <c r="B426" s="26" t="n">
        <f aca="false">PlanDate-26</f>
        <v>46285</v>
      </c>
      <c r="C426" s="25" t="n">
        <v>7</v>
      </c>
    </row>
    <row r="427" customFormat="false" ht="15" hidden="false" customHeight="false" outlineLevel="0" collapsed="false">
      <c r="A427" s="25" t="s">
        <v>114</v>
      </c>
      <c r="B427" s="26" t="n">
        <f aca="false">PlanDate-24</f>
        <v>46287</v>
      </c>
      <c r="C427" s="25" t="n">
        <v>5</v>
      </c>
    </row>
    <row r="428" customFormat="false" ht="15" hidden="false" customHeight="false" outlineLevel="0" collapsed="false">
      <c r="A428" s="25" t="s">
        <v>114</v>
      </c>
      <c r="B428" s="26" t="n">
        <f aca="false">PlanDate-22</f>
        <v>46289</v>
      </c>
      <c r="C428" s="25" t="n">
        <v>4</v>
      </c>
    </row>
    <row r="429" customFormat="false" ht="15" hidden="false" customHeight="false" outlineLevel="0" collapsed="false">
      <c r="A429" s="25" t="s">
        <v>114</v>
      </c>
      <c r="B429" s="26" t="n">
        <f aca="false">PlanDate-21</f>
        <v>46290</v>
      </c>
      <c r="C429" s="25" t="n">
        <v>6</v>
      </c>
    </row>
    <row r="430" customFormat="false" ht="15" hidden="false" customHeight="false" outlineLevel="0" collapsed="false">
      <c r="A430" s="25" t="s">
        <v>114</v>
      </c>
      <c r="B430" s="26" t="n">
        <f aca="false">PlanDate-20</f>
        <v>46291</v>
      </c>
      <c r="C430" s="25" t="n">
        <v>5</v>
      </c>
    </row>
    <row r="431" customFormat="false" ht="15" hidden="false" customHeight="false" outlineLevel="0" collapsed="false">
      <c r="A431" s="25" t="s">
        <v>114</v>
      </c>
      <c r="B431" s="26" t="n">
        <f aca="false">PlanDate-19</f>
        <v>46292</v>
      </c>
      <c r="C431" s="25" t="n">
        <v>4</v>
      </c>
    </row>
    <row r="432" customFormat="false" ht="15" hidden="false" customHeight="false" outlineLevel="0" collapsed="false">
      <c r="A432" s="25" t="s">
        <v>114</v>
      </c>
      <c r="B432" s="26" t="n">
        <f aca="false">PlanDate-18</f>
        <v>46293</v>
      </c>
      <c r="C432" s="25" t="n">
        <v>4</v>
      </c>
    </row>
    <row r="433" customFormat="false" ht="15" hidden="false" customHeight="false" outlineLevel="0" collapsed="false">
      <c r="A433" s="25" t="s">
        <v>114</v>
      </c>
      <c r="B433" s="26" t="n">
        <f aca="false">PlanDate-17</f>
        <v>46294</v>
      </c>
      <c r="C433" s="25" t="n">
        <v>7</v>
      </c>
    </row>
    <row r="434" customFormat="false" ht="15" hidden="false" customHeight="false" outlineLevel="0" collapsed="false">
      <c r="A434" s="25" t="s">
        <v>114</v>
      </c>
      <c r="B434" s="26" t="n">
        <f aca="false">PlanDate-16</f>
        <v>46295</v>
      </c>
      <c r="C434" s="25" t="n">
        <v>3</v>
      </c>
    </row>
    <row r="435" customFormat="false" ht="15" hidden="false" customHeight="false" outlineLevel="0" collapsed="false">
      <c r="A435" s="25" t="s">
        <v>114</v>
      </c>
      <c r="B435" s="26" t="n">
        <f aca="false">PlanDate-15</f>
        <v>46296</v>
      </c>
      <c r="C435" s="25" t="n">
        <v>7</v>
      </c>
    </row>
    <row r="436" customFormat="false" ht="15" hidden="false" customHeight="false" outlineLevel="0" collapsed="false">
      <c r="A436" s="25" t="s">
        <v>114</v>
      </c>
      <c r="B436" s="26" t="n">
        <f aca="false">PlanDate-14</f>
        <v>46297</v>
      </c>
      <c r="C436" s="25" t="n">
        <v>6</v>
      </c>
    </row>
    <row r="437" customFormat="false" ht="15" hidden="false" customHeight="false" outlineLevel="0" collapsed="false">
      <c r="A437" s="25" t="s">
        <v>114</v>
      </c>
      <c r="B437" s="26" t="n">
        <f aca="false">PlanDate-13</f>
        <v>46298</v>
      </c>
      <c r="C437" s="25" t="n">
        <v>6</v>
      </c>
    </row>
    <row r="438" customFormat="false" ht="15" hidden="false" customHeight="false" outlineLevel="0" collapsed="false">
      <c r="A438" s="25" t="s">
        <v>114</v>
      </c>
      <c r="B438" s="26" t="n">
        <f aca="false">PlanDate-12</f>
        <v>46299</v>
      </c>
      <c r="C438" s="25" t="n">
        <v>7</v>
      </c>
    </row>
    <row r="439" customFormat="false" ht="15" hidden="false" customHeight="false" outlineLevel="0" collapsed="false">
      <c r="A439" s="25" t="s">
        <v>114</v>
      </c>
      <c r="B439" s="26" t="n">
        <f aca="false">PlanDate-11</f>
        <v>46300</v>
      </c>
      <c r="C439" s="25" t="n">
        <v>5</v>
      </c>
    </row>
    <row r="440" customFormat="false" ht="15" hidden="false" customHeight="false" outlineLevel="0" collapsed="false">
      <c r="A440" s="25" t="s">
        <v>114</v>
      </c>
      <c r="B440" s="26" t="n">
        <f aca="false">PlanDate-9</f>
        <v>46302</v>
      </c>
      <c r="C440" s="25" t="n">
        <v>7</v>
      </c>
    </row>
    <row r="441" customFormat="false" ht="15" hidden="false" customHeight="false" outlineLevel="0" collapsed="false">
      <c r="A441" s="25" t="s">
        <v>114</v>
      </c>
      <c r="B441" s="26" t="n">
        <f aca="false">PlanDate-8</f>
        <v>46303</v>
      </c>
      <c r="C441" s="25" t="n">
        <v>5</v>
      </c>
    </row>
    <row r="442" customFormat="false" ht="15" hidden="false" customHeight="false" outlineLevel="0" collapsed="false">
      <c r="A442" s="25" t="s">
        <v>114</v>
      </c>
      <c r="B442" s="26" t="n">
        <f aca="false">PlanDate-7</f>
        <v>46304</v>
      </c>
      <c r="C442" s="25" t="n">
        <v>3</v>
      </c>
    </row>
    <row r="443" customFormat="false" ht="15" hidden="false" customHeight="false" outlineLevel="0" collapsed="false">
      <c r="A443" s="25" t="s">
        <v>114</v>
      </c>
      <c r="B443" s="26" t="n">
        <f aca="false">PlanDate-6</f>
        <v>46305</v>
      </c>
      <c r="C443" s="25" t="n">
        <v>4</v>
      </c>
    </row>
    <row r="444" customFormat="false" ht="15" hidden="false" customHeight="false" outlineLevel="0" collapsed="false">
      <c r="A444" s="25" t="s">
        <v>114</v>
      </c>
      <c r="B444" s="26" t="n">
        <f aca="false">PlanDate-5</f>
        <v>46306</v>
      </c>
      <c r="C444" s="25" t="n">
        <v>3</v>
      </c>
    </row>
    <row r="445" customFormat="false" ht="15" hidden="false" customHeight="false" outlineLevel="0" collapsed="false">
      <c r="A445" s="25" t="s">
        <v>114</v>
      </c>
      <c r="B445" s="26" t="n">
        <f aca="false">PlanDate-4</f>
        <v>46307</v>
      </c>
      <c r="C445" s="25" t="n">
        <v>7</v>
      </c>
    </row>
    <row r="446" customFormat="false" ht="15" hidden="false" customHeight="false" outlineLevel="0" collapsed="false">
      <c r="A446" s="25" t="s">
        <v>114</v>
      </c>
      <c r="B446" s="26" t="n">
        <f aca="false">PlanDate-2</f>
        <v>46309</v>
      </c>
      <c r="C446" s="25" t="n">
        <v>6</v>
      </c>
    </row>
    <row r="447" customFormat="false" ht="15" hidden="false" customHeight="false" outlineLevel="0" collapsed="false">
      <c r="A447" s="25" t="s">
        <v>114</v>
      </c>
      <c r="B447" s="26" t="n">
        <f aca="false">PlanDate-1</f>
        <v>46310</v>
      </c>
      <c r="C447" s="25" t="n">
        <v>6</v>
      </c>
    </row>
    <row r="448" customFormat="false" ht="15" hidden="false" customHeight="false" outlineLevel="0" collapsed="false">
      <c r="A448" s="25" t="s">
        <v>116</v>
      </c>
      <c r="B448" s="26" t="n">
        <f aca="false">PlanDate-120</f>
        <v>46191</v>
      </c>
      <c r="C448" s="25" t="n">
        <v>416</v>
      </c>
    </row>
    <row r="449" customFormat="false" ht="15" hidden="false" customHeight="false" outlineLevel="0" collapsed="false">
      <c r="A449" s="25" t="s">
        <v>116</v>
      </c>
      <c r="B449" s="26" t="n">
        <f aca="false">PlanDate-119</f>
        <v>46192</v>
      </c>
      <c r="C449" s="25" t="n">
        <v>471</v>
      </c>
    </row>
    <row r="450" customFormat="false" ht="15" hidden="false" customHeight="false" outlineLevel="0" collapsed="false">
      <c r="A450" s="25" t="s">
        <v>116</v>
      </c>
      <c r="B450" s="26" t="n">
        <f aca="false">PlanDate-118</f>
        <v>46193</v>
      </c>
      <c r="C450" s="25" t="n">
        <v>366</v>
      </c>
    </row>
    <row r="451" customFormat="false" ht="15" hidden="false" customHeight="false" outlineLevel="0" collapsed="false">
      <c r="A451" s="25" t="s">
        <v>116</v>
      </c>
      <c r="B451" s="26" t="n">
        <f aca="false">PlanDate-117</f>
        <v>46194</v>
      </c>
      <c r="C451" s="25" t="n">
        <v>438</v>
      </c>
    </row>
    <row r="452" customFormat="false" ht="15" hidden="false" customHeight="false" outlineLevel="0" collapsed="false">
      <c r="A452" s="25" t="s">
        <v>116</v>
      </c>
      <c r="B452" s="26" t="n">
        <f aca="false">PlanDate-116</f>
        <v>46195</v>
      </c>
      <c r="C452" s="25" t="n">
        <v>441</v>
      </c>
    </row>
    <row r="453" customFormat="false" ht="15" hidden="false" customHeight="false" outlineLevel="0" collapsed="false">
      <c r="A453" s="25" t="s">
        <v>116</v>
      </c>
      <c r="B453" s="26" t="n">
        <f aca="false">PlanDate-115</f>
        <v>46196</v>
      </c>
      <c r="C453" s="25" t="n">
        <v>406</v>
      </c>
    </row>
    <row r="454" customFormat="false" ht="15" hidden="false" customHeight="false" outlineLevel="0" collapsed="false">
      <c r="A454" s="25" t="s">
        <v>116</v>
      </c>
      <c r="B454" s="26" t="n">
        <f aca="false">PlanDate-114</f>
        <v>46197</v>
      </c>
      <c r="C454" s="25" t="n">
        <v>499</v>
      </c>
    </row>
    <row r="455" customFormat="false" ht="15" hidden="false" customHeight="false" outlineLevel="0" collapsed="false">
      <c r="A455" s="25" t="s">
        <v>116</v>
      </c>
      <c r="B455" s="26" t="n">
        <f aca="false">PlanDate-113</f>
        <v>46198</v>
      </c>
      <c r="C455" s="25" t="n">
        <v>486</v>
      </c>
    </row>
    <row r="456" customFormat="false" ht="15" hidden="false" customHeight="false" outlineLevel="0" collapsed="false">
      <c r="A456" s="25" t="s">
        <v>116</v>
      </c>
      <c r="B456" s="26" t="n">
        <f aca="false">PlanDate-112</f>
        <v>46199</v>
      </c>
      <c r="C456" s="25" t="n">
        <v>473</v>
      </c>
    </row>
    <row r="457" customFormat="false" ht="15" hidden="false" customHeight="false" outlineLevel="0" collapsed="false">
      <c r="A457" s="25" t="s">
        <v>116</v>
      </c>
      <c r="B457" s="26" t="n">
        <f aca="false">PlanDate-111</f>
        <v>46200</v>
      </c>
      <c r="C457" s="25" t="n">
        <v>392</v>
      </c>
    </row>
    <row r="458" customFormat="false" ht="15" hidden="false" customHeight="false" outlineLevel="0" collapsed="false">
      <c r="A458" s="25" t="s">
        <v>116</v>
      </c>
      <c r="B458" s="26" t="n">
        <f aca="false">PlanDate-110</f>
        <v>46201</v>
      </c>
      <c r="C458" s="25" t="n">
        <v>451</v>
      </c>
    </row>
    <row r="459" customFormat="false" ht="15" hidden="false" customHeight="false" outlineLevel="0" collapsed="false">
      <c r="A459" s="25" t="s">
        <v>116</v>
      </c>
      <c r="B459" s="26" t="n">
        <f aca="false">PlanDate-109</f>
        <v>46202</v>
      </c>
      <c r="C459" s="25" t="n">
        <v>462</v>
      </c>
    </row>
    <row r="460" customFormat="false" ht="15" hidden="false" customHeight="false" outlineLevel="0" collapsed="false">
      <c r="A460" s="25" t="s">
        <v>116</v>
      </c>
      <c r="B460" s="26" t="n">
        <f aca="false">PlanDate-108</f>
        <v>46203</v>
      </c>
      <c r="C460" s="25" t="n">
        <v>513</v>
      </c>
    </row>
    <row r="461" customFormat="false" ht="15" hidden="false" customHeight="false" outlineLevel="0" collapsed="false">
      <c r="A461" s="25" t="s">
        <v>116</v>
      </c>
      <c r="B461" s="26" t="n">
        <f aca="false">PlanDate-107</f>
        <v>46204</v>
      </c>
      <c r="C461" s="25" t="n">
        <v>361</v>
      </c>
    </row>
    <row r="462" customFormat="false" ht="15" hidden="false" customHeight="false" outlineLevel="0" collapsed="false">
      <c r="A462" s="25" t="s">
        <v>116</v>
      </c>
      <c r="B462" s="26" t="n">
        <f aca="false">PlanDate-106</f>
        <v>46205</v>
      </c>
      <c r="C462" s="25" t="n">
        <v>392</v>
      </c>
    </row>
    <row r="463" customFormat="false" ht="15" hidden="false" customHeight="false" outlineLevel="0" collapsed="false">
      <c r="A463" s="25" t="s">
        <v>116</v>
      </c>
      <c r="B463" s="26" t="n">
        <f aca="false">PlanDate-105</f>
        <v>46206</v>
      </c>
      <c r="C463" s="25" t="n">
        <v>448</v>
      </c>
    </row>
    <row r="464" customFormat="false" ht="15" hidden="false" customHeight="false" outlineLevel="0" collapsed="false">
      <c r="A464" s="25" t="s">
        <v>116</v>
      </c>
      <c r="B464" s="26" t="n">
        <f aca="false">PlanDate-104</f>
        <v>46207</v>
      </c>
      <c r="C464" s="25" t="n">
        <v>450</v>
      </c>
    </row>
    <row r="465" customFormat="false" ht="15" hidden="false" customHeight="false" outlineLevel="0" collapsed="false">
      <c r="A465" s="25" t="s">
        <v>116</v>
      </c>
      <c r="B465" s="26" t="n">
        <f aca="false">PlanDate-103</f>
        <v>46208</v>
      </c>
      <c r="C465" s="25" t="n">
        <v>365</v>
      </c>
    </row>
    <row r="466" customFormat="false" ht="15" hidden="false" customHeight="false" outlineLevel="0" collapsed="false">
      <c r="A466" s="25" t="s">
        <v>116</v>
      </c>
      <c r="B466" s="26" t="n">
        <f aca="false">PlanDate-102</f>
        <v>46209</v>
      </c>
      <c r="C466" s="25" t="n">
        <v>503</v>
      </c>
    </row>
    <row r="467" customFormat="false" ht="15" hidden="false" customHeight="false" outlineLevel="0" collapsed="false">
      <c r="A467" s="25" t="s">
        <v>116</v>
      </c>
      <c r="B467" s="26" t="n">
        <f aca="false">PlanDate-101</f>
        <v>46210</v>
      </c>
      <c r="C467" s="25" t="n">
        <v>417</v>
      </c>
    </row>
    <row r="468" customFormat="false" ht="15" hidden="false" customHeight="false" outlineLevel="0" collapsed="false">
      <c r="A468" s="25" t="s">
        <v>116</v>
      </c>
      <c r="B468" s="26" t="n">
        <f aca="false">PlanDate-100</f>
        <v>46211</v>
      </c>
      <c r="C468" s="25" t="n">
        <v>480</v>
      </c>
    </row>
    <row r="469" customFormat="false" ht="15" hidden="false" customHeight="false" outlineLevel="0" collapsed="false">
      <c r="A469" s="25" t="s">
        <v>116</v>
      </c>
      <c r="B469" s="26" t="n">
        <f aca="false">PlanDate-99</f>
        <v>46212</v>
      </c>
      <c r="C469" s="25" t="n">
        <v>399</v>
      </c>
    </row>
    <row r="470" customFormat="false" ht="15" hidden="false" customHeight="false" outlineLevel="0" collapsed="false">
      <c r="A470" s="25" t="s">
        <v>116</v>
      </c>
      <c r="B470" s="26" t="n">
        <f aca="false">PlanDate-98</f>
        <v>46213</v>
      </c>
      <c r="C470" s="25" t="n">
        <v>405</v>
      </c>
    </row>
    <row r="471" customFormat="false" ht="15" hidden="false" customHeight="false" outlineLevel="0" collapsed="false">
      <c r="A471" s="25" t="s">
        <v>116</v>
      </c>
      <c r="B471" s="26" t="n">
        <f aca="false">PlanDate-97</f>
        <v>46214</v>
      </c>
      <c r="C471" s="25" t="n">
        <v>490</v>
      </c>
    </row>
    <row r="472" customFormat="false" ht="15" hidden="false" customHeight="false" outlineLevel="0" collapsed="false">
      <c r="A472" s="25" t="s">
        <v>116</v>
      </c>
      <c r="B472" s="26" t="n">
        <f aca="false">PlanDate-96</f>
        <v>46215</v>
      </c>
      <c r="C472" s="25" t="n">
        <v>492</v>
      </c>
    </row>
    <row r="473" customFormat="false" ht="15" hidden="false" customHeight="false" outlineLevel="0" collapsed="false">
      <c r="A473" s="25" t="s">
        <v>116</v>
      </c>
      <c r="B473" s="26" t="n">
        <f aca="false">PlanDate-95</f>
        <v>46216</v>
      </c>
      <c r="C473" s="25" t="n">
        <v>495</v>
      </c>
    </row>
    <row r="474" customFormat="false" ht="15" hidden="false" customHeight="false" outlineLevel="0" collapsed="false">
      <c r="A474" s="25" t="s">
        <v>116</v>
      </c>
      <c r="B474" s="26" t="n">
        <f aca="false">PlanDate-94</f>
        <v>46217</v>
      </c>
      <c r="C474" s="25" t="n">
        <v>490</v>
      </c>
    </row>
    <row r="475" customFormat="false" ht="15" hidden="false" customHeight="false" outlineLevel="0" collapsed="false">
      <c r="A475" s="25" t="s">
        <v>116</v>
      </c>
      <c r="B475" s="26" t="n">
        <f aca="false">PlanDate-93</f>
        <v>46218</v>
      </c>
      <c r="C475" s="25" t="n">
        <v>439</v>
      </c>
    </row>
    <row r="476" customFormat="false" ht="15" hidden="false" customHeight="false" outlineLevel="0" collapsed="false">
      <c r="A476" s="25" t="s">
        <v>116</v>
      </c>
      <c r="B476" s="26" t="n">
        <f aca="false">PlanDate-92</f>
        <v>46219</v>
      </c>
      <c r="C476" s="25" t="n">
        <v>510</v>
      </c>
    </row>
    <row r="477" customFormat="false" ht="15" hidden="false" customHeight="false" outlineLevel="0" collapsed="false">
      <c r="A477" s="25" t="s">
        <v>116</v>
      </c>
      <c r="B477" s="26" t="n">
        <f aca="false">PlanDate-91</f>
        <v>46220</v>
      </c>
      <c r="C477" s="25" t="n">
        <v>403</v>
      </c>
    </row>
    <row r="478" customFormat="false" ht="15" hidden="false" customHeight="false" outlineLevel="0" collapsed="false">
      <c r="A478" s="25" t="s">
        <v>116</v>
      </c>
      <c r="B478" s="26" t="n">
        <f aca="false">PlanDate-90</f>
        <v>46221</v>
      </c>
      <c r="C478" s="25" t="n">
        <v>345</v>
      </c>
    </row>
    <row r="479" customFormat="false" ht="15" hidden="false" customHeight="false" outlineLevel="0" collapsed="false">
      <c r="A479" s="25" t="s">
        <v>116</v>
      </c>
      <c r="B479" s="26" t="n">
        <f aca="false">PlanDate-89</f>
        <v>46222</v>
      </c>
      <c r="C479" s="25" t="n">
        <v>483</v>
      </c>
    </row>
    <row r="480" customFormat="false" ht="15" hidden="false" customHeight="false" outlineLevel="0" collapsed="false">
      <c r="A480" s="25" t="s">
        <v>116</v>
      </c>
      <c r="B480" s="26" t="n">
        <f aca="false">PlanDate-88</f>
        <v>46223</v>
      </c>
      <c r="C480" s="25" t="n">
        <v>447</v>
      </c>
    </row>
    <row r="481" customFormat="false" ht="15" hidden="false" customHeight="false" outlineLevel="0" collapsed="false">
      <c r="A481" s="25" t="s">
        <v>116</v>
      </c>
      <c r="B481" s="26" t="n">
        <f aca="false">PlanDate-87</f>
        <v>46224</v>
      </c>
      <c r="C481" s="25" t="n">
        <v>384</v>
      </c>
    </row>
    <row r="482" customFormat="false" ht="15" hidden="false" customHeight="false" outlineLevel="0" collapsed="false">
      <c r="A482" s="25" t="s">
        <v>116</v>
      </c>
      <c r="B482" s="26" t="n">
        <f aca="false">PlanDate-86</f>
        <v>46225</v>
      </c>
      <c r="C482" s="25" t="n">
        <v>449</v>
      </c>
    </row>
    <row r="483" customFormat="false" ht="15" hidden="false" customHeight="false" outlineLevel="0" collapsed="false">
      <c r="A483" s="25" t="s">
        <v>116</v>
      </c>
      <c r="B483" s="26" t="n">
        <f aca="false">PlanDate-85</f>
        <v>46226</v>
      </c>
      <c r="C483" s="25" t="n">
        <v>463</v>
      </c>
    </row>
    <row r="484" customFormat="false" ht="15" hidden="false" customHeight="false" outlineLevel="0" collapsed="false">
      <c r="A484" s="25" t="s">
        <v>116</v>
      </c>
      <c r="B484" s="26" t="n">
        <f aca="false">PlanDate-84</f>
        <v>46227</v>
      </c>
      <c r="C484" s="25" t="n">
        <v>392</v>
      </c>
    </row>
    <row r="485" customFormat="false" ht="15" hidden="false" customHeight="false" outlineLevel="0" collapsed="false">
      <c r="A485" s="25" t="s">
        <v>116</v>
      </c>
      <c r="B485" s="26" t="n">
        <f aca="false">PlanDate-83</f>
        <v>46228</v>
      </c>
      <c r="C485" s="25" t="n">
        <v>401</v>
      </c>
    </row>
    <row r="486" customFormat="false" ht="15" hidden="false" customHeight="false" outlineLevel="0" collapsed="false">
      <c r="A486" s="25" t="s">
        <v>116</v>
      </c>
      <c r="B486" s="26" t="n">
        <f aca="false">PlanDate-82</f>
        <v>46229</v>
      </c>
      <c r="C486" s="25" t="n">
        <v>441</v>
      </c>
    </row>
    <row r="487" customFormat="false" ht="15" hidden="false" customHeight="false" outlineLevel="0" collapsed="false">
      <c r="A487" s="25" t="s">
        <v>116</v>
      </c>
      <c r="B487" s="26" t="n">
        <f aca="false">PlanDate-81</f>
        <v>46230</v>
      </c>
      <c r="C487" s="25" t="n">
        <v>490</v>
      </c>
    </row>
    <row r="488" customFormat="false" ht="15" hidden="false" customHeight="false" outlineLevel="0" collapsed="false">
      <c r="A488" s="25" t="s">
        <v>116</v>
      </c>
      <c r="B488" s="26" t="n">
        <f aca="false">PlanDate-80</f>
        <v>46231</v>
      </c>
      <c r="C488" s="25" t="n">
        <v>391</v>
      </c>
    </row>
    <row r="489" customFormat="false" ht="15" hidden="false" customHeight="false" outlineLevel="0" collapsed="false">
      <c r="A489" s="25" t="s">
        <v>116</v>
      </c>
      <c r="B489" s="26" t="n">
        <f aca="false">PlanDate-79</f>
        <v>46232</v>
      </c>
      <c r="C489" s="25" t="n">
        <v>423</v>
      </c>
    </row>
    <row r="490" customFormat="false" ht="15" hidden="false" customHeight="false" outlineLevel="0" collapsed="false">
      <c r="A490" s="25" t="s">
        <v>116</v>
      </c>
      <c r="B490" s="26" t="n">
        <f aca="false">PlanDate-78</f>
        <v>46233</v>
      </c>
      <c r="C490" s="25" t="n">
        <v>500</v>
      </c>
    </row>
    <row r="491" customFormat="false" ht="15" hidden="false" customHeight="false" outlineLevel="0" collapsed="false">
      <c r="A491" s="25" t="s">
        <v>116</v>
      </c>
      <c r="B491" s="26" t="n">
        <f aca="false">PlanDate-77</f>
        <v>46234</v>
      </c>
      <c r="C491" s="25" t="n">
        <v>488</v>
      </c>
    </row>
    <row r="492" customFormat="false" ht="15" hidden="false" customHeight="false" outlineLevel="0" collapsed="false">
      <c r="A492" s="25" t="s">
        <v>116</v>
      </c>
      <c r="B492" s="26" t="n">
        <f aca="false">PlanDate-76</f>
        <v>46235</v>
      </c>
      <c r="C492" s="25" t="n">
        <v>406</v>
      </c>
    </row>
    <row r="493" customFormat="false" ht="15" hidden="false" customHeight="false" outlineLevel="0" collapsed="false">
      <c r="A493" s="25" t="s">
        <v>116</v>
      </c>
      <c r="B493" s="26" t="n">
        <f aca="false">PlanDate-75</f>
        <v>46236</v>
      </c>
      <c r="C493" s="25" t="n">
        <v>489</v>
      </c>
    </row>
    <row r="494" customFormat="false" ht="15" hidden="false" customHeight="false" outlineLevel="0" collapsed="false">
      <c r="A494" s="25" t="s">
        <v>116</v>
      </c>
      <c r="B494" s="26" t="n">
        <f aca="false">PlanDate-74</f>
        <v>46237</v>
      </c>
      <c r="C494" s="25" t="n">
        <v>491</v>
      </c>
    </row>
    <row r="495" customFormat="false" ht="15" hidden="false" customHeight="false" outlineLevel="0" collapsed="false">
      <c r="A495" s="25" t="s">
        <v>116</v>
      </c>
      <c r="B495" s="26" t="n">
        <f aca="false">PlanDate-73</f>
        <v>46238</v>
      </c>
      <c r="C495" s="25" t="n">
        <v>345</v>
      </c>
    </row>
    <row r="496" customFormat="false" ht="15" hidden="false" customHeight="false" outlineLevel="0" collapsed="false">
      <c r="A496" s="25" t="s">
        <v>116</v>
      </c>
      <c r="B496" s="26" t="n">
        <f aca="false">PlanDate-72</f>
        <v>46239</v>
      </c>
      <c r="C496" s="25" t="n">
        <v>467</v>
      </c>
    </row>
    <row r="497" customFormat="false" ht="15" hidden="false" customHeight="false" outlineLevel="0" collapsed="false">
      <c r="A497" s="25" t="s">
        <v>116</v>
      </c>
      <c r="B497" s="26" t="n">
        <f aca="false">PlanDate-71</f>
        <v>46240</v>
      </c>
      <c r="C497" s="25" t="n">
        <v>351</v>
      </c>
    </row>
    <row r="498" customFormat="false" ht="15" hidden="false" customHeight="false" outlineLevel="0" collapsed="false">
      <c r="A498" s="25" t="s">
        <v>116</v>
      </c>
      <c r="B498" s="26" t="n">
        <f aca="false">PlanDate-70</f>
        <v>46241</v>
      </c>
      <c r="C498" s="25" t="n">
        <v>509</v>
      </c>
    </row>
    <row r="499" customFormat="false" ht="15" hidden="false" customHeight="false" outlineLevel="0" collapsed="false">
      <c r="A499" s="25" t="s">
        <v>116</v>
      </c>
      <c r="B499" s="26" t="n">
        <f aca="false">PlanDate-69</f>
        <v>46242</v>
      </c>
      <c r="C499" s="25" t="n">
        <v>506</v>
      </c>
    </row>
    <row r="500" customFormat="false" ht="15" hidden="false" customHeight="false" outlineLevel="0" collapsed="false">
      <c r="A500" s="25" t="s">
        <v>116</v>
      </c>
      <c r="B500" s="26" t="n">
        <f aca="false">PlanDate-68</f>
        <v>46243</v>
      </c>
      <c r="C500" s="25" t="n">
        <v>476</v>
      </c>
    </row>
    <row r="501" customFormat="false" ht="15" hidden="false" customHeight="false" outlineLevel="0" collapsed="false">
      <c r="A501" s="25" t="s">
        <v>116</v>
      </c>
      <c r="B501" s="26" t="n">
        <f aca="false">PlanDate-67</f>
        <v>46244</v>
      </c>
      <c r="C501" s="25" t="n">
        <v>414</v>
      </c>
    </row>
    <row r="502" customFormat="false" ht="15" hidden="false" customHeight="false" outlineLevel="0" collapsed="false">
      <c r="A502" s="25" t="s">
        <v>116</v>
      </c>
      <c r="B502" s="26" t="n">
        <f aca="false">PlanDate-65</f>
        <v>46246</v>
      </c>
      <c r="C502" s="25" t="n">
        <v>504</v>
      </c>
    </row>
    <row r="503" customFormat="false" ht="15" hidden="false" customHeight="false" outlineLevel="0" collapsed="false">
      <c r="A503" s="25" t="s">
        <v>116</v>
      </c>
      <c r="B503" s="26" t="n">
        <f aca="false">PlanDate-64</f>
        <v>46247</v>
      </c>
      <c r="C503" s="25" t="n">
        <v>447</v>
      </c>
    </row>
    <row r="504" customFormat="false" ht="15" hidden="false" customHeight="false" outlineLevel="0" collapsed="false">
      <c r="A504" s="25" t="s">
        <v>116</v>
      </c>
      <c r="B504" s="26" t="n">
        <f aca="false">PlanDate-63</f>
        <v>46248</v>
      </c>
      <c r="C504" s="25" t="n">
        <v>386</v>
      </c>
    </row>
    <row r="505" customFormat="false" ht="15" hidden="false" customHeight="false" outlineLevel="0" collapsed="false">
      <c r="A505" s="25" t="s">
        <v>116</v>
      </c>
      <c r="B505" s="26" t="n">
        <f aca="false">PlanDate-62</f>
        <v>46249</v>
      </c>
      <c r="C505" s="25" t="n">
        <v>374</v>
      </c>
    </row>
    <row r="506" customFormat="false" ht="15" hidden="false" customHeight="false" outlineLevel="0" collapsed="false">
      <c r="A506" s="25" t="s">
        <v>116</v>
      </c>
      <c r="B506" s="26" t="n">
        <f aca="false">PlanDate-61</f>
        <v>46250</v>
      </c>
      <c r="C506" s="25" t="n">
        <v>376</v>
      </c>
    </row>
    <row r="507" customFormat="false" ht="15" hidden="false" customHeight="false" outlineLevel="0" collapsed="false">
      <c r="A507" s="25" t="s">
        <v>116</v>
      </c>
      <c r="B507" s="26" t="n">
        <f aca="false">PlanDate-60</f>
        <v>46251</v>
      </c>
      <c r="C507" s="25" t="n">
        <v>419</v>
      </c>
    </row>
    <row r="508" customFormat="false" ht="15" hidden="false" customHeight="false" outlineLevel="0" collapsed="false">
      <c r="A508" s="25" t="s">
        <v>116</v>
      </c>
      <c r="B508" s="26" t="n">
        <f aca="false">PlanDate-59</f>
        <v>46252</v>
      </c>
      <c r="C508" s="25" t="n">
        <v>419</v>
      </c>
    </row>
    <row r="509" customFormat="false" ht="15" hidden="false" customHeight="false" outlineLevel="0" collapsed="false">
      <c r="A509" s="25" t="s">
        <v>116</v>
      </c>
      <c r="B509" s="26" t="n">
        <f aca="false">PlanDate-58</f>
        <v>46253</v>
      </c>
      <c r="C509" s="25" t="n">
        <v>450</v>
      </c>
    </row>
    <row r="510" customFormat="false" ht="15" hidden="false" customHeight="false" outlineLevel="0" collapsed="false">
      <c r="A510" s="25" t="s">
        <v>116</v>
      </c>
      <c r="B510" s="26" t="n">
        <f aca="false">PlanDate-57</f>
        <v>46254</v>
      </c>
      <c r="C510" s="25" t="n">
        <v>356</v>
      </c>
    </row>
    <row r="511" customFormat="false" ht="15" hidden="false" customHeight="false" outlineLevel="0" collapsed="false">
      <c r="A511" s="25" t="s">
        <v>116</v>
      </c>
      <c r="B511" s="26" t="n">
        <f aca="false">PlanDate-56</f>
        <v>46255</v>
      </c>
      <c r="C511" s="25" t="n">
        <v>475</v>
      </c>
    </row>
    <row r="512" customFormat="false" ht="15" hidden="false" customHeight="false" outlineLevel="0" collapsed="false">
      <c r="A512" s="25" t="s">
        <v>116</v>
      </c>
      <c r="B512" s="26" t="n">
        <f aca="false">PlanDate-55</f>
        <v>46256</v>
      </c>
      <c r="C512" s="25" t="n">
        <v>469</v>
      </c>
    </row>
    <row r="513" customFormat="false" ht="15" hidden="false" customHeight="false" outlineLevel="0" collapsed="false">
      <c r="A513" s="25" t="s">
        <v>116</v>
      </c>
      <c r="B513" s="26" t="n">
        <f aca="false">PlanDate-54</f>
        <v>46257</v>
      </c>
      <c r="C513" s="25" t="n">
        <v>457</v>
      </c>
    </row>
    <row r="514" customFormat="false" ht="15" hidden="false" customHeight="false" outlineLevel="0" collapsed="false">
      <c r="A514" s="25" t="s">
        <v>116</v>
      </c>
      <c r="B514" s="26" t="n">
        <f aca="false">PlanDate-53</f>
        <v>46258</v>
      </c>
      <c r="C514" s="25" t="n">
        <v>497</v>
      </c>
    </row>
    <row r="515" customFormat="false" ht="15" hidden="false" customHeight="false" outlineLevel="0" collapsed="false">
      <c r="A515" s="25" t="s">
        <v>116</v>
      </c>
      <c r="B515" s="26" t="n">
        <f aca="false">PlanDate-52</f>
        <v>46259</v>
      </c>
      <c r="C515" s="25" t="n">
        <v>360</v>
      </c>
    </row>
    <row r="516" customFormat="false" ht="15" hidden="false" customHeight="false" outlineLevel="0" collapsed="false">
      <c r="A516" s="25" t="s">
        <v>116</v>
      </c>
      <c r="B516" s="26" t="n">
        <f aca="false">PlanDate-51</f>
        <v>46260</v>
      </c>
      <c r="C516" s="25" t="n">
        <v>361</v>
      </c>
    </row>
    <row r="517" customFormat="false" ht="15" hidden="false" customHeight="false" outlineLevel="0" collapsed="false">
      <c r="A517" s="25" t="s">
        <v>116</v>
      </c>
      <c r="B517" s="26" t="n">
        <f aca="false">PlanDate-50</f>
        <v>46261</v>
      </c>
      <c r="C517" s="25" t="n">
        <v>422</v>
      </c>
    </row>
    <row r="518" customFormat="false" ht="15" hidden="false" customHeight="false" outlineLevel="0" collapsed="false">
      <c r="A518" s="25" t="s">
        <v>116</v>
      </c>
      <c r="B518" s="26" t="n">
        <f aca="false">PlanDate-49</f>
        <v>46262</v>
      </c>
      <c r="C518" s="25" t="n">
        <v>364</v>
      </c>
    </row>
    <row r="519" customFormat="false" ht="15" hidden="false" customHeight="false" outlineLevel="0" collapsed="false">
      <c r="A519" s="25" t="s">
        <v>116</v>
      </c>
      <c r="B519" s="26" t="n">
        <f aca="false">PlanDate-48</f>
        <v>46263</v>
      </c>
      <c r="C519" s="25" t="n">
        <v>481</v>
      </c>
    </row>
    <row r="520" customFormat="false" ht="15" hidden="false" customHeight="false" outlineLevel="0" collapsed="false">
      <c r="A520" s="25" t="s">
        <v>116</v>
      </c>
      <c r="B520" s="26" t="n">
        <f aca="false">PlanDate-47</f>
        <v>46264</v>
      </c>
      <c r="C520" s="25" t="n">
        <v>427</v>
      </c>
    </row>
    <row r="521" customFormat="false" ht="15" hidden="false" customHeight="false" outlineLevel="0" collapsed="false">
      <c r="A521" s="25" t="s">
        <v>116</v>
      </c>
      <c r="B521" s="26" t="n">
        <f aca="false">PlanDate-46</f>
        <v>46265</v>
      </c>
      <c r="C521" s="25" t="n">
        <v>497</v>
      </c>
    </row>
    <row r="522" customFormat="false" ht="15" hidden="false" customHeight="false" outlineLevel="0" collapsed="false">
      <c r="A522" s="25" t="s">
        <v>116</v>
      </c>
      <c r="B522" s="26" t="n">
        <f aca="false">PlanDate-45</f>
        <v>46266</v>
      </c>
      <c r="C522" s="25" t="n">
        <v>501</v>
      </c>
    </row>
    <row r="523" customFormat="false" ht="15" hidden="false" customHeight="false" outlineLevel="0" collapsed="false">
      <c r="A523" s="25" t="s">
        <v>116</v>
      </c>
      <c r="B523" s="26" t="n">
        <f aca="false">PlanDate-44</f>
        <v>46267</v>
      </c>
      <c r="C523" s="25" t="n">
        <v>501</v>
      </c>
    </row>
    <row r="524" customFormat="false" ht="15" hidden="false" customHeight="false" outlineLevel="0" collapsed="false">
      <c r="A524" s="25" t="s">
        <v>116</v>
      </c>
      <c r="B524" s="26" t="n">
        <f aca="false">PlanDate-43</f>
        <v>46268</v>
      </c>
      <c r="C524" s="25" t="n">
        <v>424</v>
      </c>
    </row>
    <row r="525" customFormat="false" ht="15" hidden="false" customHeight="false" outlineLevel="0" collapsed="false">
      <c r="A525" s="25" t="s">
        <v>116</v>
      </c>
      <c r="B525" s="26" t="n">
        <f aca="false">PlanDate-42</f>
        <v>46269</v>
      </c>
      <c r="C525" s="25" t="n">
        <v>477</v>
      </c>
    </row>
    <row r="526" customFormat="false" ht="15" hidden="false" customHeight="false" outlineLevel="0" collapsed="false">
      <c r="A526" s="25" t="s">
        <v>116</v>
      </c>
      <c r="B526" s="26" t="n">
        <f aca="false">PlanDate-41</f>
        <v>46270</v>
      </c>
      <c r="C526" s="25" t="n">
        <v>429</v>
      </c>
    </row>
    <row r="527" customFormat="false" ht="15" hidden="false" customHeight="false" outlineLevel="0" collapsed="false">
      <c r="A527" s="25" t="s">
        <v>116</v>
      </c>
      <c r="B527" s="26" t="n">
        <f aca="false">PlanDate-40</f>
        <v>46271</v>
      </c>
      <c r="C527" s="25" t="n">
        <v>386</v>
      </c>
    </row>
    <row r="528" customFormat="false" ht="15" hidden="false" customHeight="false" outlineLevel="0" collapsed="false">
      <c r="A528" s="25" t="s">
        <v>116</v>
      </c>
      <c r="B528" s="26" t="n">
        <f aca="false">PlanDate-39</f>
        <v>46272</v>
      </c>
      <c r="C528" s="25" t="n">
        <v>474</v>
      </c>
    </row>
    <row r="529" customFormat="false" ht="15" hidden="false" customHeight="false" outlineLevel="0" collapsed="false">
      <c r="A529" s="25" t="s">
        <v>116</v>
      </c>
      <c r="B529" s="26" t="n">
        <f aca="false">PlanDate-38</f>
        <v>46273</v>
      </c>
      <c r="C529" s="25" t="n">
        <v>403</v>
      </c>
    </row>
    <row r="530" customFormat="false" ht="15" hidden="false" customHeight="false" outlineLevel="0" collapsed="false">
      <c r="A530" s="25" t="s">
        <v>116</v>
      </c>
      <c r="B530" s="26" t="n">
        <f aca="false">PlanDate-37</f>
        <v>46274</v>
      </c>
      <c r="C530" s="25" t="n">
        <v>386</v>
      </c>
    </row>
    <row r="531" customFormat="false" ht="15" hidden="false" customHeight="false" outlineLevel="0" collapsed="false">
      <c r="A531" s="25" t="s">
        <v>116</v>
      </c>
      <c r="B531" s="26" t="n">
        <f aca="false">PlanDate-36</f>
        <v>46275</v>
      </c>
      <c r="C531" s="25" t="n">
        <v>474</v>
      </c>
    </row>
    <row r="532" customFormat="false" ht="15" hidden="false" customHeight="false" outlineLevel="0" collapsed="false">
      <c r="A532" s="25" t="s">
        <v>116</v>
      </c>
      <c r="B532" s="26" t="n">
        <f aca="false">PlanDate-35</f>
        <v>46276</v>
      </c>
      <c r="C532" s="25" t="n">
        <v>432</v>
      </c>
    </row>
    <row r="533" customFormat="false" ht="15" hidden="false" customHeight="false" outlineLevel="0" collapsed="false">
      <c r="A533" s="25" t="s">
        <v>116</v>
      </c>
      <c r="B533" s="26" t="n">
        <f aca="false">PlanDate-34</f>
        <v>46277</v>
      </c>
      <c r="C533" s="25" t="n">
        <v>360</v>
      </c>
    </row>
    <row r="534" customFormat="false" ht="15" hidden="false" customHeight="false" outlineLevel="0" collapsed="false">
      <c r="A534" s="25" t="s">
        <v>116</v>
      </c>
      <c r="B534" s="26" t="n">
        <f aca="false">PlanDate-33</f>
        <v>46278</v>
      </c>
      <c r="C534" s="25" t="n">
        <v>465</v>
      </c>
    </row>
    <row r="535" customFormat="false" ht="15" hidden="false" customHeight="false" outlineLevel="0" collapsed="false">
      <c r="A535" s="25" t="s">
        <v>116</v>
      </c>
      <c r="B535" s="26" t="n">
        <f aca="false">PlanDate-32</f>
        <v>46279</v>
      </c>
      <c r="C535" s="25" t="n">
        <v>403</v>
      </c>
    </row>
    <row r="536" customFormat="false" ht="15" hidden="false" customHeight="false" outlineLevel="0" collapsed="false">
      <c r="A536" s="25" t="s">
        <v>116</v>
      </c>
      <c r="B536" s="26" t="n">
        <f aca="false">PlanDate-30</f>
        <v>46281</v>
      </c>
      <c r="C536" s="25" t="n">
        <v>371</v>
      </c>
    </row>
    <row r="537" customFormat="false" ht="15" hidden="false" customHeight="false" outlineLevel="0" collapsed="false">
      <c r="A537" s="25" t="s">
        <v>116</v>
      </c>
      <c r="B537" s="26" t="n">
        <f aca="false">PlanDate-29</f>
        <v>46282</v>
      </c>
      <c r="C537" s="25" t="n">
        <v>437</v>
      </c>
    </row>
    <row r="538" customFormat="false" ht="15" hidden="false" customHeight="false" outlineLevel="0" collapsed="false">
      <c r="A538" s="25" t="s">
        <v>116</v>
      </c>
      <c r="B538" s="26" t="n">
        <f aca="false">PlanDate-28</f>
        <v>46283</v>
      </c>
      <c r="C538" s="25" t="n">
        <v>363</v>
      </c>
    </row>
    <row r="539" customFormat="false" ht="15" hidden="false" customHeight="false" outlineLevel="0" collapsed="false">
      <c r="A539" s="25" t="s">
        <v>116</v>
      </c>
      <c r="B539" s="26" t="n">
        <f aca="false">PlanDate-27</f>
        <v>46284</v>
      </c>
      <c r="C539" s="25" t="n">
        <v>433</v>
      </c>
    </row>
    <row r="540" customFormat="false" ht="15" hidden="false" customHeight="false" outlineLevel="0" collapsed="false">
      <c r="A540" s="25" t="s">
        <v>116</v>
      </c>
      <c r="B540" s="26" t="n">
        <f aca="false">PlanDate-26</f>
        <v>46285</v>
      </c>
      <c r="C540" s="25" t="n">
        <v>410</v>
      </c>
    </row>
    <row r="541" customFormat="false" ht="15" hidden="false" customHeight="false" outlineLevel="0" collapsed="false">
      <c r="A541" s="25" t="s">
        <v>116</v>
      </c>
      <c r="B541" s="26" t="n">
        <f aca="false">PlanDate-25</f>
        <v>46286</v>
      </c>
      <c r="C541" s="25" t="n">
        <v>347</v>
      </c>
    </row>
    <row r="542" customFormat="false" ht="15" hidden="false" customHeight="false" outlineLevel="0" collapsed="false">
      <c r="A542" s="25" t="s">
        <v>116</v>
      </c>
      <c r="B542" s="26" t="n">
        <f aca="false">PlanDate-24</f>
        <v>46287</v>
      </c>
      <c r="C542" s="25" t="n">
        <v>419</v>
      </c>
    </row>
    <row r="543" customFormat="false" ht="15" hidden="false" customHeight="false" outlineLevel="0" collapsed="false">
      <c r="A543" s="25" t="s">
        <v>116</v>
      </c>
      <c r="B543" s="26" t="n">
        <f aca="false">PlanDate-23</f>
        <v>46288</v>
      </c>
      <c r="C543" s="25" t="n">
        <v>414</v>
      </c>
    </row>
    <row r="544" customFormat="false" ht="15" hidden="false" customHeight="false" outlineLevel="0" collapsed="false">
      <c r="A544" s="25" t="s">
        <v>116</v>
      </c>
      <c r="B544" s="26" t="n">
        <f aca="false">PlanDate-22</f>
        <v>46289</v>
      </c>
      <c r="C544" s="25" t="n">
        <v>464</v>
      </c>
    </row>
    <row r="545" customFormat="false" ht="15" hidden="false" customHeight="false" outlineLevel="0" collapsed="false">
      <c r="A545" s="25" t="s">
        <v>116</v>
      </c>
      <c r="B545" s="26" t="n">
        <f aca="false">PlanDate-21</f>
        <v>46290</v>
      </c>
      <c r="C545" s="25" t="n">
        <v>433</v>
      </c>
    </row>
    <row r="546" customFormat="false" ht="15" hidden="false" customHeight="false" outlineLevel="0" collapsed="false">
      <c r="A546" s="25" t="s">
        <v>116</v>
      </c>
      <c r="B546" s="26" t="n">
        <f aca="false">PlanDate-20</f>
        <v>46291</v>
      </c>
      <c r="C546" s="25" t="n">
        <v>468</v>
      </c>
    </row>
    <row r="547" customFormat="false" ht="15" hidden="false" customHeight="false" outlineLevel="0" collapsed="false">
      <c r="A547" s="25" t="s">
        <v>116</v>
      </c>
      <c r="B547" s="26" t="n">
        <f aca="false">PlanDate-19</f>
        <v>46292</v>
      </c>
      <c r="C547" s="25" t="n">
        <v>354</v>
      </c>
    </row>
    <row r="548" customFormat="false" ht="15" hidden="false" customHeight="false" outlineLevel="0" collapsed="false">
      <c r="A548" s="25" t="s">
        <v>116</v>
      </c>
      <c r="B548" s="26" t="n">
        <f aca="false">PlanDate-18</f>
        <v>46293</v>
      </c>
      <c r="C548" s="25" t="n">
        <v>503</v>
      </c>
    </row>
    <row r="549" customFormat="false" ht="15" hidden="false" customHeight="false" outlineLevel="0" collapsed="false">
      <c r="A549" s="25" t="s">
        <v>116</v>
      </c>
      <c r="B549" s="26" t="n">
        <f aca="false">PlanDate-17</f>
        <v>46294</v>
      </c>
      <c r="C549" s="25" t="n">
        <v>469</v>
      </c>
    </row>
    <row r="550" customFormat="false" ht="15" hidden="false" customHeight="false" outlineLevel="0" collapsed="false">
      <c r="A550" s="25" t="s">
        <v>116</v>
      </c>
      <c r="B550" s="26" t="n">
        <f aca="false">PlanDate-16</f>
        <v>46295</v>
      </c>
      <c r="C550" s="25" t="n">
        <v>373</v>
      </c>
    </row>
    <row r="551" customFormat="false" ht="15" hidden="false" customHeight="false" outlineLevel="0" collapsed="false">
      <c r="A551" s="25" t="s">
        <v>116</v>
      </c>
      <c r="B551" s="26" t="n">
        <f aca="false">PlanDate-15</f>
        <v>46296</v>
      </c>
      <c r="C551" s="25" t="n">
        <v>455</v>
      </c>
    </row>
    <row r="552" customFormat="false" ht="15" hidden="false" customHeight="false" outlineLevel="0" collapsed="false">
      <c r="A552" s="25" t="s">
        <v>116</v>
      </c>
      <c r="B552" s="26" t="n">
        <f aca="false">PlanDate-14</f>
        <v>46297</v>
      </c>
      <c r="C552" s="25" t="n">
        <v>378</v>
      </c>
    </row>
    <row r="553" customFormat="false" ht="15" hidden="false" customHeight="false" outlineLevel="0" collapsed="false">
      <c r="A553" s="25" t="s">
        <v>116</v>
      </c>
      <c r="B553" s="26" t="n">
        <f aca="false">PlanDate-13</f>
        <v>46298</v>
      </c>
      <c r="C553" s="25" t="n">
        <v>511</v>
      </c>
    </row>
    <row r="554" customFormat="false" ht="15" hidden="false" customHeight="false" outlineLevel="0" collapsed="false">
      <c r="A554" s="25" t="s">
        <v>116</v>
      </c>
      <c r="B554" s="26" t="n">
        <f aca="false">PlanDate-12</f>
        <v>46299</v>
      </c>
      <c r="C554" s="25" t="n">
        <v>458</v>
      </c>
    </row>
    <row r="555" customFormat="false" ht="15" hidden="false" customHeight="false" outlineLevel="0" collapsed="false">
      <c r="A555" s="25" t="s">
        <v>116</v>
      </c>
      <c r="B555" s="26" t="n">
        <f aca="false">PlanDate-11</f>
        <v>46300</v>
      </c>
      <c r="C555" s="25" t="n">
        <v>497</v>
      </c>
    </row>
    <row r="556" customFormat="false" ht="15" hidden="false" customHeight="false" outlineLevel="0" collapsed="false">
      <c r="A556" s="25" t="s">
        <v>116</v>
      </c>
      <c r="B556" s="26" t="n">
        <f aca="false">PlanDate-10</f>
        <v>46301</v>
      </c>
      <c r="C556" s="25" t="n">
        <v>403</v>
      </c>
    </row>
    <row r="557" customFormat="false" ht="15" hidden="false" customHeight="false" outlineLevel="0" collapsed="false">
      <c r="A557" s="25" t="s">
        <v>116</v>
      </c>
      <c r="B557" s="26" t="n">
        <f aca="false">PlanDate-9</f>
        <v>46302</v>
      </c>
      <c r="C557" s="25" t="n">
        <v>396</v>
      </c>
    </row>
    <row r="558" customFormat="false" ht="15" hidden="false" customHeight="false" outlineLevel="0" collapsed="false">
      <c r="A558" s="25" t="s">
        <v>116</v>
      </c>
      <c r="B558" s="26" t="n">
        <f aca="false">PlanDate-8</f>
        <v>46303</v>
      </c>
      <c r="C558" s="25" t="n">
        <v>460</v>
      </c>
    </row>
    <row r="559" customFormat="false" ht="15" hidden="false" customHeight="false" outlineLevel="0" collapsed="false">
      <c r="A559" s="25" t="s">
        <v>116</v>
      </c>
      <c r="B559" s="26" t="n">
        <f aca="false">PlanDate-7</f>
        <v>46304</v>
      </c>
      <c r="C559" s="25" t="n">
        <v>503</v>
      </c>
    </row>
    <row r="560" customFormat="false" ht="15" hidden="false" customHeight="false" outlineLevel="0" collapsed="false">
      <c r="A560" s="25" t="s">
        <v>116</v>
      </c>
      <c r="B560" s="26" t="n">
        <f aca="false">PlanDate-6</f>
        <v>46305</v>
      </c>
      <c r="C560" s="25" t="n">
        <v>483</v>
      </c>
    </row>
    <row r="561" customFormat="false" ht="15" hidden="false" customHeight="false" outlineLevel="0" collapsed="false">
      <c r="A561" s="25" t="s">
        <v>116</v>
      </c>
      <c r="B561" s="26" t="n">
        <f aca="false">PlanDate-5</f>
        <v>46306</v>
      </c>
      <c r="C561" s="25" t="n">
        <v>452</v>
      </c>
    </row>
    <row r="562" customFormat="false" ht="15" hidden="false" customHeight="false" outlineLevel="0" collapsed="false">
      <c r="A562" s="25" t="s">
        <v>116</v>
      </c>
      <c r="B562" s="26" t="n">
        <f aca="false">PlanDate-4</f>
        <v>46307</v>
      </c>
      <c r="C562" s="25" t="n">
        <v>466</v>
      </c>
    </row>
    <row r="563" customFormat="false" ht="15" hidden="false" customHeight="false" outlineLevel="0" collapsed="false">
      <c r="A563" s="25" t="s">
        <v>116</v>
      </c>
      <c r="B563" s="26" t="n">
        <f aca="false">PlanDate-3</f>
        <v>46308</v>
      </c>
      <c r="C563" s="25" t="n">
        <v>379</v>
      </c>
    </row>
    <row r="564" customFormat="false" ht="15" hidden="false" customHeight="false" outlineLevel="0" collapsed="false">
      <c r="A564" s="25" t="s">
        <v>116</v>
      </c>
      <c r="B564" s="26" t="n">
        <f aca="false">PlanDate-2</f>
        <v>46309</v>
      </c>
      <c r="C564" s="25" t="n">
        <v>364</v>
      </c>
    </row>
    <row r="565" customFormat="false" ht="15" hidden="false" customHeight="false" outlineLevel="0" collapsed="false">
      <c r="A565" s="25" t="s">
        <v>116</v>
      </c>
      <c r="B565" s="26" t="n">
        <f aca="false">PlanDate-1</f>
        <v>46310</v>
      </c>
      <c r="C565" s="25" t="n">
        <v>498</v>
      </c>
    </row>
    <row r="566" customFormat="false" ht="15" hidden="false" customHeight="false" outlineLevel="0" collapsed="false">
      <c r="A566" s="25" t="s">
        <v>118</v>
      </c>
      <c r="B566" s="26" t="n">
        <f aca="false">PlanDate-120</f>
        <v>46191</v>
      </c>
      <c r="C566" s="25" t="n">
        <v>23</v>
      </c>
    </row>
    <row r="567" customFormat="false" ht="15" hidden="false" customHeight="false" outlineLevel="0" collapsed="false">
      <c r="A567" s="25" t="s">
        <v>118</v>
      </c>
      <c r="B567" s="26" t="n">
        <f aca="false">PlanDate-119</f>
        <v>46192</v>
      </c>
      <c r="C567" s="25" t="n">
        <v>25</v>
      </c>
    </row>
    <row r="568" customFormat="false" ht="15" hidden="false" customHeight="false" outlineLevel="0" collapsed="false">
      <c r="A568" s="25" t="s">
        <v>118</v>
      </c>
      <c r="B568" s="26" t="n">
        <f aca="false">PlanDate-118</f>
        <v>46193</v>
      </c>
      <c r="C568" s="25" t="n">
        <v>35</v>
      </c>
    </row>
    <row r="569" customFormat="false" ht="15" hidden="false" customHeight="false" outlineLevel="0" collapsed="false">
      <c r="A569" s="25" t="s">
        <v>118</v>
      </c>
      <c r="B569" s="26" t="n">
        <f aca="false">PlanDate-117</f>
        <v>46194</v>
      </c>
      <c r="C569" s="25" t="n">
        <v>23</v>
      </c>
    </row>
    <row r="570" customFormat="false" ht="15" hidden="false" customHeight="false" outlineLevel="0" collapsed="false">
      <c r="A570" s="25" t="s">
        <v>118</v>
      </c>
      <c r="B570" s="26" t="n">
        <f aca="false">PlanDate-116</f>
        <v>46195</v>
      </c>
      <c r="C570" s="25" t="n">
        <v>29</v>
      </c>
    </row>
    <row r="571" customFormat="false" ht="15" hidden="false" customHeight="false" outlineLevel="0" collapsed="false">
      <c r="A571" s="25" t="s">
        <v>118</v>
      </c>
      <c r="B571" s="26" t="n">
        <f aca="false">PlanDate-115</f>
        <v>46196</v>
      </c>
      <c r="C571" s="25" t="n">
        <v>29</v>
      </c>
    </row>
    <row r="572" customFormat="false" ht="15" hidden="false" customHeight="false" outlineLevel="0" collapsed="false">
      <c r="A572" s="25" t="s">
        <v>118</v>
      </c>
      <c r="B572" s="26" t="n">
        <f aca="false">PlanDate-114</f>
        <v>46197</v>
      </c>
      <c r="C572" s="25" t="n">
        <v>31</v>
      </c>
    </row>
    <row r="573" customFormat="false" ht="15" hidden="false" customHeight="false" outlineLevel="0" collapsed="false">
      <c r="A573" s="25" t="s">
        <v>118</v>
      </c>
      <c r="B573" s="26" t="n">
        <f aca="false">PlanDate-113</f>
        <v>46198</v>
      </c>
      <c r="C573" s="25" t="n">
        <v>31</v>
      </c>
    </row>
    <row r="574" customFormat="false" ht="15" hidden="false" customHeight="false" outlineLevel="0" collapsed="false">
      <c r="A574" s="25" t="s">
        <v>118</v>
      </c>
      <c r="B574" s="26" t="n">
        <f aca="false">PlanDate-112</f>
        <v>46199</v>
      </c>
      <c r="C574" s="25" t="n">
        <v>29</v>
      </c>
    </row>
    <row r="575" customFormat="false" ht="15" hidden="false" customHeight="false" outlineLevel="0" collapsed="false">
      <c r="A575" s="25" t="s">
        <v>118</v>
      </c>
      <c r="B575" s="26" t="n">
        <f aca="false">PlanDate-111</f>
        <v>46200</v>
      </c>
      <c r="C575" s="25" t="n">
        <v>24</v>
      </c>
    </row>
    <row r="576" customFormat="false" ht="15" hidden="false" customHeight="false" outlineLevel="0" collapsed="false">
      <c r="A576" s="25" t="s">
        <v>118</v>
      </c>
      <c r="B576" s="26" t="n">
        <f aca="false">PlanDate-110</f>
        <v>46201</v>
      </c>
      <c r="C576" s="25" t="n">
        <v>32</v>
      </c>
    </row>
    <row r="577" customFormat="false" ht="15" hidden="false" customHeight="false" outlineLevel="0" collapsed="false">
      <c r="A577" s="25" t="s">
        <v>118</v>
      </c>
      <c r="B577" s="26" t="n">
        <f aca="false">PlanDate-109</f>
        <v>46202</v>
      </c>
      <c r="C577" s="25" t="n">
        <v>18</v>
      </c>
    </row>
    <row r="578" customFormat="false" ht="15" hidden="false" customHeight="false" outlineLevel="0" collapsed="false">
      <c r="A578" s="25" t="s">
        <v>118</v>
      </c>
      <c r="B578" s="26" t="n">
        <f aca="false">PlanDate-108</f>
        <v>46203</v>
      </c>
      <c r="C578" s="25" t="n">
        <v>32</v>
      </c>
    </row>
    <row r="579" customFormat="false" ht="15" hidden="false" customHeight="false" outlineLevel="0" collapsed="false">
      <c r="A579" s="25" t="s">
        <v>118</v>
      </c>
      <c r="B579" s="26" t="n">
        <f aca="false">PlanDate-107</f>
        <v>46204</v>
      </c>
      <c r="C579" s="25" t="n">
        <v>26</v>
      </c>
    </row>
    <row r="580" customFormat="false" ht="15" hidden="false" customHeight="false" outlineLevel="0" collapsed="false">
      <c r="A580" s="25" t="s">
        <v>118</v>
      </c>
      <c r="B580" s="26" t="n">
        <f aca="false">PlanDate-105</f>
        <v>46206</v>
      </c>
      <c r="C580" s="25" t="n">
        <v>26</v>
      </c>
    </row>
    <row r="581" customFormat="false" ht="15" hidden="false" customHeight="false" outlineLevel="0" collapsed="false">
      <c r="A581" s="25" t="s">
        <v>118</v>
      </c>
      <c r="B581" s="26" t="n">
        <f aca="false">PlanDate-104</f>
        <v>46207</v>
      </c>
      <c r="C581" s="25" t="n">
        <v>28</v>
      </c>
    </row>
    <row r="582" customFormat="false" ht="15" hidden="false" customHeight="false" outlineLevel="0" collapsed="false">
      <c r="A582" s="25" t="s">
        <v>118</v>
      </c>
      <c r="B582" s="26" t="n">
        <f aca="false">PlanDate-103</f>
        <v>46208</v>
      </c>
      <c r="C582" s="25" t="n">
        <v>31</v>
      </c>
    </row>
    <row r="583" customFormat="false" ht="15" hidden="false" customHeight="false" outlineLevel="0" collapsed="false">
      <c r="A583" s="25" t="s">
        <v>118</v>
      </c>
      <c r="B583" s="26" t="n">
        <f aca="false">PlanDate-102</f>
        <v>46209</v>
      </c>
      <c r="C583" s="25" t="n">
        <v>25</v>
      </c>
    </row>
    <row r="584" customFormat="false" ht="15" hidden="false" customHeight="false" outlineLevel="0" collapsed="false">
      <c r="A584" s="25" t="s">
        <v>118</v>
      </c>
      <c r="B584" s="26" t="n">
        <f aca="false">PlanDate-100</f>
        <v>46211</v>
      </c>
      <c r="C584" s="25" t="n">
        <v>35</v>
      </c>
    </row>
    <row r="585" customFormat="false" ht="15" hidden="false" customHeight="false" outlineLevel="0" collapsed="false">
      <c r="A585" s="25" t="s">
        <v>118</v>
      </c>
      <c r="B585" s="26" t="n">
        <f aca="false">PlanDate-99</f>
        <v>46212</v>
      </c>
      <c r="C585" s="25" t="n">
        <v>29</v>
      </c>
    </row>
    <row r="586" customFormat="false" ht="15" hidden="false" customHeight="false" outlineLevel="0" collapsed="false">
      <c r="A586" s="25" t="s">
        <v>118</v>
      </c>
      <c r="B586" s="26" t="n">
        <f aca="false">PlanDate-98</f>
        <v>46213</v>
      </c>
      <c r="C586" s="25" t="n">
        <v>27</v>
      </c>
    </row>
    <row r="587" customFormat="false" ht="15" hidden="false" customHeight="false" outlineLevel="0" collapsed="false">
      <c r="A587" s="25" t="s">
        <v>118</v>
      </c>
      <c r="B587" s="26" t="n">
        <f aca="false">PlanDate-97</f>
        <v>46214</v>
      </c>
      <c r="C587" s="25" t="n">
        <v>34</v>
      </c>
    </row>
    <row r="588" customFormat="false" ht="15" hidden="false" customHeight="false" outlineLevel="0" collapsed="false">
      <c r="A588" s="25" t="s">
        <v>118</v>
      </c>
      <c r="B588" s="26" t="n">
        <f aca="false">PlanDate-96</f>
        <v>46215</v>
      </c>
      <c r="C588" s="25" t="n">
        <v>26</v>
      </c>
    </row>
    <row r="589" customFormat="false" ht="15" hidden="false" customHeight="false" outlineLevel="0" collapsed="false">
      <c r="A589" s="25" t="s">
        <v>118</v>
      </c>
      <c r="B589" s="26" t="n">
        <f aca="false">PlanDate-95</f>
        <v>46216</v>
      </c>
      <c r="C589" s="25" t="n">
        <v>32</v>
      </c>
    </row>
    <row r="590" customFormat="false" ht="15" hidden="false" customHeight="false" outlineLevel="0" collapsed="false">
      <c r="A590" s="25" t="s">
        <v>118</v>
      </c>
      <c r="B590" s="26" t="n">
        <f aca="false">PlanDate-94</f>
        <v>46217</v>
      </c>
      <c r="C590" s="25" t="n">
        <v>28</v>
      </c>
    </row>
    <row r="591" customFormat="false" ht="15" hidden="false" customHeight="false" outlineLevel="0" collapsed="false">
      <c r="A591" s="25" t="s">
        <v>118</v>
      </c>
      <c r="B591" s="26" t="n">
        <f aca="false">PlanDate-93</f>
        <v>46218</v>
      </c>
      <c r="C591" s="25" t="n">
        <v>18</v>
      </c>
    </row>
    <row r="592" customFormat="false" ht="15" hidden="false" customHeight="false" outlineLevel="0" collapsed="false">
      <c r="A592" s="25" t="s">
        <v>118</v>
      </c>
      <c r="B592" s="26" t="n">
        <f aca="false">PlanDate-92</f>
        <v>46219</v>
      </c>
      <c r="C592" s="25" t="n">
        <v>29</v>
      </c>
    </row>
    <row r="593" customFormat="false" ht="15" hidden="false" customHeight="false" outlineLevel="0" collapsed="false">
      <c r="A593" s="25" t="s">
        <v>118</v>
      </c>
      <c r="B593" s="26" t="n">
        <f aca="false">PlanDate-91</f>
        <v>46220</v>
      </c>
      <c r="C593" s="25" t="n">
        <v>24</v>
      </c>
    </row>
    <row r="594" customFormat="false" ht="15" hidden="false" customHeight="false" outlineLevel="0" collapsed="false">
      <c r="A594" s="25" t="s">
        <v>118</v>
      </c>
      <c r="B594" s="26" t="n">
        <f aca="false">PlanDate-90</f>
        <v>46221</v>
      </c>
      <c r="C594" s="25" t="n">
        <v>22</v>
      </c>
    </row>
    <row r="595" customFormat="false" ht="15" hidden="false" customHeight="false" outlineLevel="0" collapsed="false">
      <c r="A595" s="25" t="s">
        <v>118</v>
      </c>
      <c r="B595" s="26" t="n">
        <f aca="false">PlanDate-89</f>
        <v>46222</v>
      </c>
      <c r="C595" s="25" t="n">
        <v>30</v>
      </c>
    </row>
    <row r="596" customFormat="false" ht="15" hidden="false" customHeight="false" outlineLevel="0" collapsed="false">
      <c r="A596" s="25" t="s">
        <v>118</v>
      </c>
      <c r="B596" s="26" t="n">
        <f aca="false">PlanDate-88</f>
        <v>46223</v>
      </c>
      <c r="C596" s="25" t="n">
        <v>18</v>
      </c>
    </row>
    <row r="597" customFormat="false" ht="15" hidden="false" customHeight="false" outlineLevel="0" collapsed="false">
      <c r="A597" s="25" t="s">
        <v>118</v>
      </c>
      <c r="B597" s="26" t="n">
        <f aca="false">PlanDate-87</f>
        <v>46224</v>
      </c>
      <c r="C597" s="25" t="n">
        <v>24</v>
      </c>
    </row>
    <row r="598" customFormat="false" ht="15" hidden="false" customHeight="false" outlineLevel="0" collapsed="false">
      <c r="A598" s="25" t="s">
        <v>118</v>
      </c>
      <c r="B598" s="26" t="n">
        <f aca="false">PlanDate-86</f>
        <v>46225</v>
      </c>
      <c r="C598" s="25" t="n">
        <v>35</v>
      </c>
    </row>
    <row r="599" customFormat="false" ht="15" hidden="false" customHeight="false" outlineLevel="0" collapsed="false">
      <c r="A599" s="25" t="s">
        <v>118</v>
      </c>
      <c r="B599" s="26" t="n">
        <f aca="false">PlanDate-85</f>
        <v>46226</v>
      </c>
      <c r="C599" s="25" t="n">
        <v>34</v>
      </c>
    </row>
    <row r="600" customFormat="false" ht="15" hidden="false" customHeight="false" outlineLevel="0" collapsed="false">
      <c r="A600" s="25" t="s">
        <v>118</v>
      </c>
      <c r="B600" s="26" t="n">
        <f aca="false">PlanDate-84</f>
        <v>46227</v>
      </c>
      <c r="C600" s="25" t="n">
        <v>32</v>
      </c>
    </row>
    <row r="601" customFormat="false" ht="15" hidden="false" customHeight="false" outlineLevel="0" collapsed="false">
      <c r="A601" s="25" t="s">
        <v>118</v>
      </c>
      <c r="B601" s="26" t="n">
        <f aca="false">PlanDate-83</f>
        <v>46228</v>
      </c>
      <c r="C601" s="25" t="n">
        <v>25</v>
      </c>
    </row>
    <row r="602" customFormat="false" ht="15" hidden="false" customHeight="false" outlineLevel="0" collapsed="false">
      <c r="A602" s="25" t="s">
        <v>118</v>
      </c>
      <c r="B602" s="26" t="n">
        <f aca="false">PlanDate-82</f>
        <v>46229</v>
      </c>
      <c r="C602" s="25" t="n">
        <v>35</v>
      </c>
    </row>
    <row r="603" customFormat="false" ht="15" hidden="false" customHeight="false" outlineLevel="0" collapsed="false">
      <c r="A603" s="25" t="s">
        <v>118</v>
      </c>
      <c r="B603" s="26" t="n">
        <f aca="false">PlanDate-81</f>
        <v>46230</v>
      </c>
      <c r="C603" s="25" t="n">
        <v>31</v>
      </c>
    </row>
    <row r="604" customFormat="false" ht="15" hidden="false" customHeight="false" outlineLevel="0" collapsed="false">
      <c r="A604" s="25" t="s">
        <v>118</v>
      </c>
      <c r="B604" s="26" t="n">
        <f aca="false">PlanDate-80</f>
        <v>46231</v>
      </c>
      <c r="C604" s="25" t="n">
        <v>26</v>
      </c>
    </row>
    <row r="605" customFormat="false" ht="15" hidden="false" customHeight="false" outlineLevel="0" collapsed="false">
      <c r="A605" s="25" t="s">
        <v>118</v>
      </c>
      <c r="B605" s="26" t="n">
        <f aca="false">PlanDate-79</f>
        <v>46232</v>
      </c>
      <c r="C605" s="25" t="n">
        <v>23</v>
      </c>
    </row>
    <row r="606" customFormat="false" ht="15" hidden="false" customHeight="false" outlineLevel="0" collapsed="false">
      <c r="A606" s="25" t="s">
        <v>118</v>
      </c>
      <c r="B606" s="26" t="n">
        <f aca="false">PlanDate-78</f>
        <v>46233</v>
      </c>
      <c r="C606" s="25" t="n">
        <v>34</v>
      </c>
    </row>
    <row r="607" customFormat="false" ht="15" hidden="false" customHeight="false" outlineLevel="0" collapsed="false">
      <c r="A607" s="25" t="s">
        <v>118</v>
      </c>
      <c r="B607" s="26" t="n">
        <f aca="false">PlanDate-77</f>
        <v>46234</v>
      </c>
      <c r="C607" s="25" t="n">
        <v>30</v>
      </c>
    </row>
    <row r="608" customFormat="false" ht="15" hidden="false" customHeight="false" outlineLevel="0" collapsed="false">
      <c r="A608" s="25" t="s">
        <v>118</v>
      </c>
      <c r="B608" s="26" t="n">
        <f aca="false">PlanDate-76</f>
        <v>46235</v>
      </c>
      <c r="C608" s="25" t="n">
        <v>31</v>
      </c>
    </row>
    <row r="609" customFormat="false" ht="15" hidden="false" customHeight="false" outlineLevel="0" collapsed="false">
      <c r="A609" s="25" t="s">
        <v>118</v>
      </c>
      <c r="B609" s="26" t="n">
        <f aca="false">PlanDate-75</f>
        <v>46236</v>
      </c>
      <c r="C609" s="25" t="n">
        <v>18</v>
      </c>
    </row>
    <row r="610" customFormat="false" ht="15" hidden="false" customHeight="false" outlineLevel="0" collapsed="false">
      <c r="A610" s="25" t="s">
        <v>118</v>
      </c>
      <c r="B610" s="26" t="n">
        <f aca="false">PlanDate-74</f>
        <v>46237</v>
      </c>
      <c r="C610" s="25" t="n">
        <v>29</v>
      </c>
    </row>
    <row r="611" customFormat="false" ht="15" hidden="false" customHeight="false" outlineLevel="0" collapsed="false">
      <c r="A611" s="25" t="s">
        <v>118</v>
      </c>
      <c r="B611" s="26" t="n">
        <f aca="false">PlanDate-73</f>
        <v>46238</v>
      </c>
      <c r="C611" s="25" t="n">
        <v>20</v>
      </c>
    </row>
    <row r="612" customFormat="false" ht="15" hidden="false" customHeight="false" outlineLevel="0" collapsed="false">
      <c r="A612" s="25" t="s">
        <v>118</v>
      </c>
      <c r="B612" s="26" t="n">
        <f aca="false">PlanDate-72</f>
        <v>46239</v>
      </c>
      <c r="C612" s="25" t="n">
        <v>29</v>
      </c>
    </row>
    <row r="613" customFormat="false" ht="15" hidden="false" customHeight="false" outlineLevel="0" collapsed="false">
      <c r="A613" s="25" t="s">
        <v>118</v>
      </c>
      <c r="B613" s="26" t="n">
        <f aca="false">PlanDate-71</f>
        <v>46240</v>
      </c>
      <c r="C613" s="25" t="n">
        <v>18</v>
      </c>
    </row>
    <row r="614" customFormat="false" ht="15" hidden="false" customHeight="false" outlineLevel="0" collapsed="false">
      <c r="A614" s="25" t="s">
        <v>118</v>
      </c>
      <c r="B614" s="26" t="n">
        <f aca="false">PlanDate-70</f>
        <v>46241</v>
      </c>
      <c r="C614" s="25" t="n">
        <v>30</v>
      </c>
    </row>
    <row r="615" customFormat="false" ht="15" hidden="false" customHeight="false" outlineLevel="0" collapsed="false">
      <c r="A615" s="25" t="s">
        <v>118</v>
      </c>
      <c r="B615" s="26" t="n">
        <f aca="false">PlanDate-69</f>
        <v>46242</v>
      </c>
      <c r="C615" s="25" t="n">
        <v>19</v>
      </c>
    </row>
    <row r="616" customFormat="false" ht="15" hidden="false" customHeight="false" outlineLevel="0" collapsed="false">
      <c r="A616" s="25" t="s">
        <v>118</v>
      </c>
      <c r="B616" s="26" t="n">
        <f aca="false">PlanDate-68</f>
        <v>46243</v>
      </c>
      <c r="C616" s="25" t="n">
        <v>21</v>
      </c>
    </row>
    <row r="617" customFormat="false" ht="15" hidden="false" customHeight="false" outlineLevel="0" collapsed="false">
      <c r="A617" s="25" t="s">
        <v>118</v>
      </c>
      <c r="B617" s="26" t="n">
        <f aca="false">PlanDate-67</f>
        <v>46244</v>
      </c>
      <c r="C617" s="25" t="n">
        <v>34</v>
      </c>
    </row>
    <row r="618" customFormat="false" ht="15" hidden="false" customHeight="false" outlineLevel="0" collapsed="false">
      <c r="A618" s="25" t="s">
        <v>118</v>
      </c>
      <c r="B618" s="26" t="n">
        <f aca="false">PlanDate-66</f>
        <v>46245</v>
      </c>
      <c r="C618" s="25" t="n">
        <v>21</v>
      </c>
    </row>
    <row r="619" customFormat="false" ht="15" hidden="false" customHeight="false" outlineLevel="0" collapsed="false">
      <c r="A619" s="25" t="s">
        <v>118</v>
      </c>
      <c r="B619" s="26" t="n">
        <f aca="false">PlanDate-65</f>
        <v>46246</v>
      </c>
      <c r="C619" s="25" t="n">
        <v>24</v>
      </c>
    </row>
    <row r="620" customFormat="false" ht="15" hidden="false" customHeight="false" outlineLevel="0" collapsed="false">
      <c r="A620" s="25" t="s">
        <v>118</v>
      </c>
      <c r="B620" s="26" t="n">
        <f aca="false">PlanDate-64</f>
        <v>46247</v>
      </c>
      <c r="C620" s="25" t="n">
        <v>33</v>
      </c>
    </row>
    <row r="621" customFormat="false" ht="15" hidden="false" customHeight="false" outlineLevel="0" collapsed="false">
      <c r="A621" s="25" t="s">
        <v>118</v>
      </c>
      <c r="B621" s="26" t="n">
        <f aca="false">PlanDate-63</f>
        <v>46248</v>
      </c>
      <c r="C621" s="25" t="n">
        <v>32</v>
      </c>
    </row>
    <row r="622" customFormat="false" ht="15" hidden="false" customHeight="false" outlineLevel="0" collapsed="false">
      <c r="A622" s="25" t="s">
        <v>118</v>
      </c>
      <c r="B622" s="26" t="n">
        <f aca="false">PlanDate-62</f>
        <v>46249</v>
      </c>
      <c r="C622" s="25" t="n">
        <v>32</v>
      </c>
    </row>
    <row r="623" customFormat="false" ht="15" hidden="false" customHeight="false" outlineLevel="0" collapsed="false">
      <c r="A623" s="25" t="s">
        <v>118</v>
      </c>
      <c r="B623" s="26" t="n">
        <f aca="false">PlanDate-61</f>
        <v>46250</v>
      </c>
      <c r="C623" s="25" t="n">
        <v>33</v>
      </c>
    </row>
    <row r="624" customFormat="false" ht="15" hidden="false" customHeight="false" outlineLevel="0" collapsed="false">
      <c r="A624" s="25" t="s">
        <v>118</v>
      </c>
      <c r="B624" s="26" t="n">
        <f aca="false">PlanDate-60</f>
        <v>46251</v>
      </c>
      <c r="C624" s="25" t="n">
        <v>24</v>
      </c>
    </row>
    <row r="625" customFormat="false" ht="15" hidden="false" customHeight="false" outlineLevel="0" collapsed="false">
      <c r="A625" s="25" t="s">
        <v>118</v>
      </c>
      <c r="B625" s="26" t="n">
        <f aca="false">PlanDate-59</f>
        <v>46252</v>
      </c>
      <c r="C625" s="25" t="n">
        <v>28</v>
      </c>
    </row>
    <row r="626" customFormat="false" ht="15" hidden="false" customHeight="false" outlineLevel="0" collapsed="false">
      <c r="A626" s="25" t="s">
        <v>118</v>
      </c>
      <c r="B626" s="26" t="n">
        <f aca="false">PlanDate-58</f>
        <v>46253</v>
      </c>
      <c r="C626" s="25" t="n">
        <v>25</v>
      </c>
    </row>
    <row r="627" customFormat="false" ht="15" hidden="false" customHeight="false" outlineLevel="0" collapsed="false">
      <c r="A627" s="25" t="s">
        <v>118</v>
      </c>
      <c r="B627" s="26" t="n">
        <f aca="false">PlanDate-57</f>
        <v>46254</v>
      </c>
      <c r="C627" s="25" t="n">
        <v>32</v>
      </c>
    </row>
    <row r="628" customFormat="false" ht="15" hidden="false" customHeight="false" outlineLevel="0" collapsed="false">
      <c r="A628" s="25" t="s">
        <v>118</v>
      </c>
      <c r="B628" s="26" t="n">
        <f aca="false">PlanDate-56</f>
        <v>46255</v>
      </c>
      <c r="C628" s="25" t="n">
        <v>18</v>
      </c>
    </row>
    <row r="629" customFormat="false" ht="15" hidden="false" customHeight="false" outlineLevel="0" collapsed="false">
      <c r="A629" s="25" t="s">
        <v>118</v>
      </c>
      <c r="B629" s="26" t="n">
        <f aca="false">PlanDate-55</f>
        <v>46256</v>
      </c>
      <c r="C629" s="25" t="n">
        <v>17</v>
      </c>
    </row>
    <row r="630" customFormat="false" ht="15" hidden="false" customHeight="false" outlineLevel="0" collapsed="false">
      <c r="A630" s="25" t="s">
        <v>118</v>
      </c>
      <c r="B630" s="26" t="n">
        <f aca="false">PlanDate-54</f>
        <v>46257</v>
      </c>
      <c r="C630" s="25" t="n">
        <v>24</v>
      </c>
    </row>
    <row r="631" customFormat="false" ht="15" hidden="false" customHeight="false" outlineLevel="0" collapsed="false">
      <c r="A631" s="25" t="s">
        <v>118</v>
      </c>
      <c r="B631" s="26" t="n">
        <f aca="false">PlanDate-53</f>
        <v>46258</v>
      </c>
      <c r="C631" s="25" t="n">
        <v>31</v>
      </c>
    </row>
    <row r="632" customFormat="false" ht="15" hidden="false" customHeight="false" outlineLevel="0" collapsed="false">
      <c r="A632" s="25" t="s">
        <v>118</v>
      </c>
      <c r="B632" s="26" t="n">
        <f aca="false">PlanDate-52</f>
        <v>46259</v>
      </c>
      <c r="C632" s="25" t="n">
        <v>18</v>
      </c>
    </row>
    <row r="633" customFormat="false" ht="15" hidden="false" customHeight="false" outlineLevel="0" collapsed="false">
      <c r="A633" s="25" t="s">
        <v>118</v>
      </c>
      <c r="B633" s="26" t="n">
        <f aca="false">PlanDate-51</f>
        <v>46260</v>
      </c>
      <c r="C633" s="25" t="n">
        <v>20</v>
      </c>
    </row>
    <row r="634" customFormat="false" ht="15" hidden="false" customHeight="false" outlineLevel="0" collapsed="false">
      <c r="A634" s="25" t="s">
        <v>118</v>
      </c>
      <c r="B634" s="26" t="n">
        <f aca="false">PlanDate-50</f>
        <v>46261</v>
      </c>
      <c r="C634" s="25" t="n">
        <v>21</v>
      </c>
    </row>
    <row r="635" customFormat="false" ht="15" hidden="false" customHeight="false" outlineLevel="0" collapsed="false">
      <c r="A635" s="25" t="s">
        <v>118</v>
      </c>
      <c r="B635" s="26" t="n">
        <f aca="false">PlanDate-49</f>
        <v>46262</v>
      </c>
      <c r="C635" s="25" t="n">
        <v>24</v>
      </c>
    </row>
    <row r="636" customFormat="false" ht="15" hidden="false" customHeight="false" outlineLevel="0" collapsed="false">
      <c r="A636" s="25" t="s">
        <v>118</v>
      </c>
      <c r="B636" s="26" t="n">
        <f aca="false">PlanDate-48</f>
        <v>46263</v>
      </c>
      <c r="C636" s="25" t="n">
        <v>31</v>
      </c>
    </row>
    <row r="637" customFormat="false" ht="15" hidden="false" customHeight="false" outlineLevel="0" collapsed="false">
      <c r="A637" s="25" t="s">
        <v>118</v>
      </c>
      <c r="B637" s="26" t="n">
        <f aca="false">PlanDate-47</f>
        <v>46264</v>
      </c>
      <c r="C637" s="25" t="n">
        <v>32</v>
      </c>
    </row>
    <row r="638" customFormat="false" ht="15" hidden="false" customHeight="false" outlineLevel="0" collapsed="false">
      <c r="A638" s="25" t="s">
        <v>118</v>
      </c>
      <c r="B638" s="26" t="n">
        <f aca="false">PlanDate-46</f>
        <v>46265</v>
      </c>
      <c r="C638" s="25" t="n">
        <v>35</v>
      </c>
    </row>
    <row r="639" customFormat="false" ht="15" hidden="false" customHeight="false" outlineLevel="0" collapsed="false">
      <c r="A639" s="25" t="s">
        <v>118</v>
      </c>
      <c r="B639" s="26" t="n">
        <f aca="false">PlanDate-45</f>
        <v>46266</v>
      </c>
      <c r="C639" s="25" t="n">
        <v>27</v>
      </c>
    </row>
    <row r="640" customFormat="false" ht="15" hidden="false" customHeight="false" outlineLevel="0" collapsed="false">
      <c r="A640" s="25" t="s">
        <v>118</v>
      </c>
      <c r="B640" s="26" t="n">
        <f aca="false">PlanDate-44</f>
        <v>46267</v>
      </c>
      <c r="C640" s="25" t="n">
        <v>33</v>
      </c>
    </row>
    <row r="641" customFormat="false" ht="15" hidden="false" customHeight="false" outlineLevel="0" collapsed="false">
      <c r="A641" s="25" t="s">
        <v>118</v>
      </c>
      <c r="B641" s="26" t="n">
        <f aca="false">PlanDate-43</f>
        <v>46268</v>
      </c>
      <c r="C641" s="25" t="n">
        <v>32</v>
      </c>
    </row>
    <row r="642" customFormat="false" ht="15" hidden="false" customHeight="false" outlineLevel="0" collapsed="false">
      <c r="A642" s="25" t="s">
        <v>118</v>
      </c>
      <c r="B642" s="26" t="n">
        <f aca="false">PlanDate-42</f>
        <v>46269</v>
      </c>
      <c r="C642" s="25" t="n">
        <v>23</v>
      </c>
    </row>
    <row r="643" customFormat="false" ht="15" hidden="false" customHeight="false" outlineLevel="0" collapsed="false">
      <c r="A643" s="25" t="s">
        <v>118</v>
      </c>
      <c r="B643" s="26" t="n">
        <f aca="false">PlanDate-40</f>
        <v>46271</v>
      </c>
      <c r="C643" s="25" t="n">
        <v>32</v>
      </c>
    </row>
    <row r="644" customFormat="false" ht="15" hidden="false" customHeight="false" outlineLevel="0" collapsed="false">
      <c r="A644" s="25" t="s">
        <v>118</v>
      </c>
      <c r="B644" s="26" t="n">
        <f aca="false">PlanDate-39</f>
        <v>46272</v>
      </c>
      <c r="C644" s="25" t="n">
        <v>33</v>
      </c>
    </row>
    <row r="645" customFormat="false" ht="15" hidden="false" customHeight="false" outlineLevel="0" collapsed="false">
      <c r="A645" s="25" t="s">
        <v>118</v>
      </c>
      <c r="B645" s="26" t="n">
        <f aca="false">PlanDate-38</f>
        <v>46273</v>
      </c>
      <c r="C645" s="25" t="n">
        <v>21</v>
      </c>
    </row>
    <row r="646" customFormat="false" ht="15" hidden="false" customHeight="false" outlineLevel="0" collapsed="false">
      <c r="A646" s="25" t="s">
        <v>118</v>
      </c>
      <c r="B646" s="26" t="n">
        <f aca="false">PlanDate-37</f>
        <v>46274</v>
      </c>
      <c r="C646" s="25" t="n">
        <v>33</v>
      </c>
    </row>
    <row r="647" customFormat="false" ht="15" hidden="false" customHeight="false" outlineLevel="0" collapsed="false">
      <c r="A647" s="25" t="s">
        <v>118</v>
      </c>
      <c r="B647" s="26" t="n">
        <f aca="false">PlanDate-36</f>
        <v>46275</v>
      </c>
      <c r="C647" s="25" t="n">
        <v>33</v>
      </c>
    </row>
    <row r="648" customFormat="false" ht="15" hidden="false" customHeight="false" outlineLevel="0" collapsed="false">
      <c r="A648" s="25" t="s">
        <v>118</v>
      </c>
      <c r="B648" s="26" t="n">
        <f aca="false">PlanDate-35</f>
        <v>46276</v>
      </c>
      <c r="C648" s="25" t="n">
        <v>34</v>
      </c>
    </row>
    <row r="649" customFormat="false" ht="15" hidden="false" customHeight="false" outlineLevel="0" collapsed="false">
      <c r="A649" s="25" t="s">
        <v>118</v>
      </c>
      <c r="B649" s="26" t="n">
        <f aca="false">PlanDate-34</f>
        <v>46277</v>
      </c>
      <c r="C649" s="25" t="n">
        <v>21</v>
      </c>
    </row>
    <row r="650" customFormat="false" ht="15" hidden="false" customHeight="false" outlineLevel="0" collapsed="false">
      <c r="A650" s="25" t="s">
        <v>118</v>
      </c>
      <c r="B650" s="26" t="n">
        <f aca="false">PlanDate-33</f>
        <v>46278</v>
      </c>
      <c r="C650" s="25" t="n">
        <v>25</v>
      </c>
    </row>
    <row r="651" customFormat="false" ht="15" hidden="false" customHeight="false" outlineLevel="0" collapsed="false">
      <c r="A651" s="25" t="s">
        <v>118</v>
      </c>
      <c r="B651" s="26" t="n">
        <f aca="false">PlanDate-32</f>
        <v>46279</v>
      </c>
      <c r="C651" s="25" t="n">
        <v>18</v>
      </c>
    </row>
    <row r="652" customFormat="false" ht="15" hidden="false" customHeight="false" outlineLevel="0" collapsed="false">
      <c r="A652" s="25" t="s">
        <v>118</v>
      </c>
      <c r="B652" s="26" t="n">
        <f aca="false">PlanDate-31</f>
        <v>46280</v>
      </c>
      <c r="C652" s="25" t="n">
        <v>32</v>
      </c>
    </row>
    <row r="653" customFormat="false" ht="15" hidden="false" customHeight="false" outlineLevel="0" collapsed="false">
      <c r="A653" s="25" t="s">
        <v>118</v>
      </c>
      <c r="B653" s="26" t="n">
        <f aca="false">PlanDate-30</f>
        <v>46281</v>
      </c>
      <c r="C653" s="25" t="n">
        <v>32</v>
      </c>
    </row>
    <row r="654" customFormat="false" ht="15" hidden="false" customHeight="false" outlineLevel="0" collapsed="false">
      <c r="A654" s="25" t="s">
        <v>118</v>
      </c>
      <c r="B654" s="26" t="n">
        <f aca="false">PlanDate-29</f>
        <v>46282</v>
      </c>
      <c r="C654" s="25" t="n">
        <v>29</v>
      </c>
    </row>
    <row r="655" customFormat="false" ht="15" hidden="false" customHeight="false" outlineLevel="0" collapsed="false">
      <c r="A655" s="25" t="s">
        <v>118</v>
      </c>
      <c r="B655" s="26" t="n">
        <f aca="false">PlanDate-28</f>
        <v>46283</v>
      </c>
      <c r="C655" s="25" t="n">
        <v>27</v>
      </c>
    </row>
    <row r="656" customFormat="false" ht="15" hidden="false" customHeight="false" outlineLevel="0" collapsed="false">
      <c r="A656" s="25" t="s">
        <v>118</v>
      </c>
      <c r="B656" s="26" t="n">
        <f aca="false">PlanDate-27</f>
        <v>46284</v>
      </c>
      <c r="C656" s="25" t="n">
        <v>20</v>
      </c>
    </row>
    <row r="657" customFormat="false" ht="15" hidden="false" customHeight="false" outlineLevel="0" collapsed="false">
      <c r="A657" s="25" t="s">
        <v>118</v>
      </c>
      <c r="B657" s="26" t="n">
        <f aca="false">PlanDate-26</f>
        <v>46285</v>
      </c>
      <c r="C657" s="25" t="n">
        <v>23</v>
      </c>
    </row>
    <row r="658" customFormat="false" ht="15" hidden="false" customHeight="false" outlineLevel="0" collapsed="false">
      <c r="A658" s="25" t="s">
        <v>118</v>
      </c>
      <c r="B658" s="26" t="n">
        <f aca="false">PlanDate-25</f>
        <v>46286</v>
      </c>
      <c r="C658" s="25" t="n">
        <v>29</v>
      </c>
    </row>
    <row r="659" customFormat="false" ht="15" hidden="false" customHeight="false" outlineLevel="0" collapsed="false">
      <c r="A659" s="25" t="s">
        <v>118</v>
      </c>
      <c r="B659" s="26" t="n">
        <f aca="false">PlanDate-23</f>
        <v>46288</v>
      </c>
      <c r="C659" s="25" t="n">
        <v>32</v>
      </c>
    </row>
    <row r="660" customFormat="false" ht="15" hidden="false" customHeight="false" outlineLevel="0" collapsed="false">
      <c r="A660" s="25" t="s">
        <v>118</v>
      </c>
      <c r="B660" s="26" t="n">
        <f aca="false">PlanDate-22</f>
        <v>46289</v>
      </c>
      <c r="C660" s="25" t="n">
        <v>22</v>
      </c>
    </row>
    <row r="661" customFormat="false" ht="15" hidden="false" customHeight="false" outlineLevel="0" collapsed="false">
      <c r="A661" s="25" t="s">
        <v>118</v>
      </c>
      <c r="B661" s="26" t="n">
        <f aca="false">PlanDate-21</f>
        <v>46290</v>
      </c>
      <c r="C661" s="25" t="n">
        <v>28</v>
      </c>
    </row>
    <row r="662" customFormat="false" ht="15" hidden="false" customHeight="false" outlineLevel="0" collapsed="false">
      <c r="A662" s="25" t="s">
        <v>118</v>
      </c>
      <c r="B662" s="26" t="n">
        <f aca="false">PlanDate-20</f>
        <v>46291</v>
      </c>
      <c r="C662" s="25" t="n">
        <v>22</v>
      </c>
    </row>
    <row r="663" customFormat="false" ht="15" hidden="false" customHeight="false" outlineLevel="0" collapsed="false">
      <c r="A663" s="25" t="s">
        <v>118</v>
      </c>
      <c r="B663" s="26" t="n">
        <f aca="false">PlanDate-19</f>
        <v>46292</v>
      </c>
      <c r="C663" s="25" t="n">
        <v>26</v>
      </c>
    </row>
    <row r="664" customFormat="false" ht="15" hidden="false" customHeight="false" outlineLevel="0" collapsed="false">
      <c r="A664" s="25" t="s">
        <v>118</v>
      </c>
      <c r="B664" s="26" t="n">
        <f aca="false">PlanDate-18</f>
        <v>46293</v>
      </c>
      <c r="C664" s="25" t="n">
        <v>30</v>
      </c>
    </row>
    <row r="665" customFormat="false" ht="15" hidden="false" customHeight="false" outlineLevel="0" collapsed="false">
      <c r="A665" s="25" t="s">
        <v>118</v>
      </c>
      <c r="B665" s="26" t="n">
        <f aca="false">PlanDate-17</f>
        <v>46294</v>
      </c>
      <c r="C665" s="25" t="n">
        <v>23</v>
      </c>
    </row>
    <row r="666" customFormat="false" ht="15" hidden="false" customHeight="false" outlineLevel="0" collapsed="false">
      <c r="A666" s="25" t="s">
        <v>118</v>
      </c>
      <c r="B666" s="26" t="n">
        <f aca="false">PlanDate-16</f>
        <v>46295</v>
      </c>
      <c r="C666" s="25" t="n">
        <v>31</v>
      </c>
    </row>
    <row r="667" customFormat="false" ht="15" hidden="false" customHeight="false" outlineLevel="0" collapsed="false">
      <c r="A667" s="25" t="s">
        <v>118</v>
      </c>
      <c r="B667" s="26" t="n">
        <f aca="false">PlanDate-15</f>
        <v>46296</v>
      </c>
      <c r="C667" s="25" t="n">
        <v>26</v>
      </c>
    </row>
    <row r="668" customFormat="false" ht="15" hidden="false" customHeight="false" outlineLevel="0" collapsed="false">
      <c r="A668" s="25" t="s">
        <v>118</v>
      </c>
      <c r="B668" s="26" t="n">
        <f aca="false">PlanDate-14</f>
        <v>46297</v>
      </c>
      <c r="C668" s="25" t="n">
        <v>32</v>
      </c>
    </row>
    <row r="669" customFormat="false" ht="15" hidden="false" customHeight="false" outlineLevel="0" collapsed="false">
      <c r="A669" s="25" t="s">
        <v>118</v>
      </c>
      <c r="B669" s="26" t="n">
        <f aca="false">PlanDate-13</f>
        <v>46298</v>
      </c>
      <c r="C669" s="25" t="n">
        <v>25</v>
      </c>
    </row>
    <row r="670" customFormat="false" ht="15" hidden="false" customHeight="false" outlineLevel="0" collapsed="false">
      <c r="A670" s="25" t="s">
        <v>118</v>
      </c>
      <c r="B670" s="26" t="n">
        <f aca="false">PlanDate-12</f>
        <v>46299</v>
      </c>
      <c r="C670" s="25" t="n">
        <v>32</v>
      </c>
    </row>
    <row r="671" customFormat="false" ht="15" hidden="false" customHeight="false" outlineLevel="0" collapsed="false">
      <c r="A671" s="25" t="s">
        <v>118</v>
      </c>
      <c r="B671" s="26" t="n">
        <f aca="false">PlanDate-11</f>
        <v>46300</v>
      </c>
      <c r="C671" s="25" t="n">
        <v>30</v>
      </c>
    </row>
    <row r="672" customFormat="false" ht="15" hidden="false" customHeight="false" outlineLevel="0" collapsed="false">
      <c r="A672" s="25" t="s">
        <v>118</v>
      </c>
      <c r="B672" s="26" t="n">
        <f aca="false">PlanDate-10</f>
        <v>46301</v>
      </c>
      <c r="C672" s="25" t="n">
        <v>25</v>
      </c>
    </row>
    <row r="673" customFormat="false" ht="15" hidden="false" customHeight="false" outlineLevel="0" collapsed="false">
      <c r="A673" s="25" t="s">
        <v>118</v>
      </c>
      <c r="B673" s="26" t="n">
        <f aca="false">PlanDate-9</f>
        <v>46302</v>
      </c>
      <c r="C673" s="25" t="n">
        <v>27</v>
      </c>
    </row>
    <row r="674" customFormat="false" ht="15" hidden="false" customHeight="false" outlineLevel="0" collapsed="false">
      <c r="A674" s="25" t="s">
        <v>118</v>
      </c>
      <c r="B674" s="26" t="n">
        <f aca="false">PlanDate-8</f>
        <v>46303</v>
      </c>
      <c r="C674" s="25" t="n">
        <v>33</v>
      </c>
    </row>
    <row r="675" customFormat="false" ht="15" hidden="false" customHeight="false" outlineLevel="0" collapsed="false">
      <c r="A675" s="25" t="s">
        <v>118</v>
      </c>
      <c r="B675" s="26" t="n">
        <f aca="false">PlanDate-7</f>
        <v>46304</v>
      </c>
      <c r="C675" s="25" t="n">
        <v>33</v>
      </c>
    </row>
    <row r="676" customFormat="false" ht="15" hidden="false" customHeight="false" outlineLevel="0" collapsed="false">
      <c r="A676" s="25" t="s">
        <v>118</v>
      </c>
      <c r="B676" s="26" t="n">
        <f aca="false">PlanDate-6</f>
        <v>46305</v>
      </c>
      <c r="C676" s="25" t="n">
        <v>25</v>
      </c>
    </row>
    <row r="677" customFormat="false" ht="15" hidden="false" customHeight="false" outlineLevel="0" collapsed="false">
      <c r="A677" s="25" t="s">
        <v>118</v>
      </c>
      <c r="B677" s="26" t="n">
        <f aca="false">PlanDate-5</f>
        <v>46306</v>
      </c>
      <c r="C677" s="25" t="n">
        <v>20</v>
      </c>
    </row>
    <row r="678" customFormat="false" ht="15" hidden="false" customHeight="false" outlineLevel="0" collapsed="false">
      <c r="A678" s="25" t="s">
        <v>118</v>
      </c>
      <c r="B678" s="26" t="n">
        <f aca="false">PlanDate-4</f>
        <v>46307</v>
      </c>
      <c r="C678" s="25" t="n">
        <v>20</v>
      </c>
    </row>
    <row r="679" customFormat="false" ht="15" hidden="false" customHeight="false" outlineLevel="0" collapsed="false">
      <c r="A679" s="25" t="s">
        <v>118</v>
      </c>
      <c r="B679" s="26" t="n">
        <f aca="false">PlanDate-3</f>
        <v>46308</v>
      </c>
      <c r="C679" s="25" t="n">
        <v>25</v>
      </c>
    </row>
    <row r="680" customFormat="false" ht="15" hidden="false" customHeight="false" outlineLevel="0" collapsed="false">
      <c r="A680" s="25" t="s">
        <v>118</v>
      </c>
      <c r="B680" s="26" t="n">
        <f aca="false">PlanDate-1</f>
        <v>46310</v>
      </c>
      <c r="C680" s="25" t="n">
        <v>23</v>
      </c>
    </row>
    <row r="681" customFormat="false" ht="15" hidden="false" customHeight="false" outlineLevel="0" collapsed="false">
      <c r="A681" s="25" t="s">
        <v>120</v>
      </c>
      <c r="B681" s="26" t="n">
        <f aca="false">PlanDate-117</f>
        <v>46194</v>
      </c>
      <c r="C681" s="25" t="n">
        <v>7</v>
      </c>
    </row>
    <row r="682" customFormat="false" ht="15" hidden="false" customHeight="false" outlineLevel="0" collapsed="false">
      <c r="A682" s="25" t="s">
        <v>120</v>
      </c>
      <c r="B682" s="26" t="n">
        <f aca="false">PlanDate-115</f>
        <v>46196</v>
      </c>
      <c r="C682" s="25" t="n">
        <v>5</v>
      </c>
    </row>
    <row r="683" customFormat="false" ht="15" hidden="false" customHeight="false" outlineLevel="0" collapsed="false">
      <c r="A683" s="25" t="s">
        <v>120</v>
      </c>
      <c r="B683" s="26" t="n">
        <f aca="false">PlanDate-114</f>
        <v>46197</v>
      </c>
      <c r="C683" s="25" t="n">
        <v>8</v>
      </c>
    </row>
    <row r="684" customFormat="false" ht="15" hidden="false" customHeight="false" outlineLevel="0" collapsed="false">
      <c r="A684" s="25" t="s">
        <v>120</v>
      </c>
      <c r="B684" s="26" t="n">
        <f aca="false">PlanDate-113</f>
        <v>46198</v>
      </c>
      <c r="C684" s="25" t="n">
        <v>7</v>
      </c>
    </row>
    <row r="685" customFormat="false" ht="15" hidden="false" customHeight="false" outlineLevel="0" collapsed="false">
      <c r="A685" s="25" t="s">
        <v>120</v>
      </c>
      <c r="B685" s="26" t="n">
        <f aca="false">PlanDate-112</f>
        <v>46199</v>
      </c>
      <c r="C685" s="25" t="n">
        <v>1</v>
      </c>
    </row>
    <row r="686" customFormat="false" ht="15" hidden="false" customHeight="false" outlineLevel="0" collapsed="false">
      <c r="A686" s="25" t="s">
        <v>120</v>
      </c>
      <c r="B686" s="26" t="n">
        <f aca="false">PlanDate-108</f>
        <v>46203</v>
      </c>
      <c r="C686" s="25" t="n">
        <v>3</v>
      </c>
    </row>
    <row r="687" customFormat="false" ht="15" hidden="false" customHeight="false" outlineLevel="0" collapsed="false">
      <c r="A687" s="25" t="s">
        <v>120</v>
      </c>
      <c r="B687" s="26" t="n">
        <f aca="false">PlanDate-104</f>
        <v>46207</v>
      </c>
      <c r="C687" s="25" t="n">
        <v>7</v>
      </c>
    </row>
    <row r="688" customFormat="false" ht="15" hidden="false" customHeight="false" outlineLevel="0" collapsed="false">
      <c r="A688" s="25" t="s">
        <v>120</v>
      </c>
      <c r="B688" s="26" t="n">
        <f aca="false">PlanDate-103</f>
        <v>46208</v>
      </c>
      <c r="C688" s="25" t="n">
        <v>5</v>
      </c>
    </row>
    <row r="689" customFormat="false" ht="15" hidden="false" customHeight="false" outlineLevel="0" collapsed="false">
      <c r="A689" s="25" t="s">
        <v>120</v>
      </c>
      <c r="B689" s="26" t="n">
        <f aca="false">PlanDate-102</f>
        <v>46209</v>
      </c>
      <c r="C689" s="25" t="n">
        <v>6</v>
      </c>
    </row>
    <row r="690" customFormat="false" ht="15" hidden="false" customHeight="false" outlineLevel="0" collapsed="false">
      <c r="A690" s="25" t="s">
        <v>120</v>
      </c>
      <c r="B690" s="26" t="n">
        <f aca="false">PlanDate-101</f>
        <v>46210</v>
      </c>
      <c r="C690" s="25" t="n">
        <v>6</v>
      </c>
    </row>
    <row r="691" customFormat="false" ht="15" hidden="false" customHeight="false" outlineLevel="0" collapsed="false">
      <c r="A691" s="25" t="s">
        <v>120</v>
      </c>
      <c r="B691" s="26" t="n">
        <f aca="false">PlanDate-99</f>
        <v>46212</v>
      </c>
      <c r="C691" s="25" t="n">
        <v>7</v>
      </c>
    </row>
    <row r="692" customFormat="false" ht="15" hidden="false" customHeight="false" outlineLevel="0" collapsed="false">
      <c r="A692" s="25" t="s">
        <v>120</v>
      </c>
      <c r="B692" s="26" t="n">
        <f aca="false">PlanDate-96</f>
        <v>46215</v>
      </c>
      <c r="C692" s="25" t="n">
        <v>9</v>
      </c>
    </row>
    <row r="693" customFormat="false" ht="15" hidden="false" customHeight="false" outlineLevel="0" collapsed="false">
      <c r="A693" s="25" t="s">
        <v>120</v>
      </c>
      <c r="B693" s="26" t="n">
        <f aca="false">PlanDate-93</f>
        <v>46218</v>
      </c>
      <c r="C693" s="25" t="n">
        <v>7</v>
      </c>
    </row>
    <row r="694" customFormat="false" ht="15" hidden="false" customHeight="false" outlineLevel="0" collapsed="false">
      <c r="A694" s="25" t="s">
        <v>120</v>
      </c>
      <c r="B694" s="26" t="n">
        <f aca="false">PlanDate-90</f>
        <v>46221</v>
      </c>
      <c r="C694" s="25" t="n">
        <v>1</v>
      </c>
    </row>
    <row r="695" customFormat="false" ht="15" hidden="false" customHeight="false" outlineLevel="0" collapsed="false">
      <c r="A695" s="25" t="s">
        <v>120</v>
      </c>
      <c r="B695" s="26" t="n">
        <f aca="false">PlanDate-89</f>
        <v>46222</v>
      </c>
      <c r="C695" s="25" t="n">
        <v>7</v>
      </c>
    </row>
    <row r="696" customFormat="false" ht="15" hidden="false" customHeight="false" outlineLevel="0" collapsed="false">
      <c r="A696" s="25" t="s">
        <v>120</v>
      </c>
      <c r="B696" s="26" t="n">
        <f aca="false">PlanDate-87</f>
        <v>46224</v>
      </c>
      <c r="C696" s="25" t="n">
        <v>7</v>
      </c>
    </row>
    <row r="697" customFormat="false" ht="15" hidden="false" customHeight="false" outlineLevel="0" collapsed="false">
      <c r="A697" s="25" t="s">
        <v>120</v>
      </c>
      <c r="B697" s="26" t="n">
        <f aca="false">PlanDate-82</f>
        <v>46229</v>
      </c>
      <c r="C697" s="25" t="n">
        <v>5</v>
      </c>
    </row>
    <row r="698" customFormat="false" ht="15" hidden="false" customHeight="false" outlineLevel="0" collapsed="false">
      <c r="A698" s="25" t="s">
        <v>120</v>
      </c>
      <c r="B698" s="26" t="n">
        <f aca="false">PlanDate-80</f>
        <v>46231</v>
      </c>
      <c r="C698" s="25" t="n">
        <v>5</v>
      </c>
    </row>
    <row r="699" customFormat="false" ht="15" hidden="false" customHeight="false" outlineLevel="0" collapsed="false">
      <c r="A699" s="25" t="s">
        <v>120</v>
      </c>
      <c r="B699" s="26" t="n">
        <f aca="false">PlanDate-79</f>
        <v>46232</v>
      </c>
      <c r="C699" s="25" t="n">
        <v>8</v>
      </c>
    </row>
    <row r="700" customFormat="false" ht="15" hidden="false" customHeight="false" outlineLevel="0" collapsed="false">
      <c r="A700" s="25" t="s">
        <v>120</v>
      </c>
      <c r="B700" s="26" t="n">
        <f aca="false">PlanDate-77</f>
        <v>46234</v>
      </c>
      <c r="C700" s="25" t="n">
        <v>9</v>
      </c>
    </row>
    <row r="701" customFormat="false" ht="15" hidden="false" customHeight="false" outlineLevel="0" collapsed="false">
      <c r="A701" s="25" t="s">
        <v>120</v>
      </c>
      <c r="B701" s="26" t="n">
        <f aca="false">PlanDate-74</f>
        <v>46237</v>
      </c>
      <c r="C701" s="25" t="n">
        <v>8</v>
      </c>
    </row>
    <row r="702" customFormat="false" ht="15" hidden="false" customHeight="false" outlineLevel="0" collapsed="false">
      <c r="A702" s="25" t="s">
        <v>120</v>
      </c>
      <c r="B702" s="26" t="n">
        <f aca="false">PlanDate-72</f>
        <v>46239</v>
      </c>
      <c r="C702" s="25" t="n">
        <v>8</v>
      </c>
    </row>
    <row r="703" customFormat="false" ht="15" hidden="false" customHeight="false" outlineLevel="0" collapsed="false">
      <c r="A703" s="25" t="s">
        <v>120</v>
      </c>
      <c r="B703" s="26" t="n">
        <f aca="false">PlanDate-71</f>
        <v>46240</v>
      </c>
      <c r="C703" s="25" t="n">
        <v>8</v>
      </c>
    </row>
    <row r="704" customFormat="false" ht="15" hidden="false" customHeight="false" outlineLevel="0" collapsed="false">
      <c r="A704" s="25" t="s">
        <v>120</v>
      </c>
      <c r="B704" s="26" t="n">
        <f aca="false">PlanDate-64</f>
        <v>46247</v>
      </c>
      <c r="C704" s="25" t="n">
        <v>1</v>
      </c>
    </row>
    <row r="705" customFormat="false" ht="15" hidden="false" customHeight="false" outlineLevel="0" collapsed="false">
      <c r="A705" s="25" t="s">
        <v>120</v>
      </c>
      <c r="B705" s="26" t="n">
        <f aca="false">PlanDate-62</f>
        <v>46249</v>
      </c>
      <c r="C705" s="25" t="n">
        <v>6</v>
      </c>
    </row>
    <row r="706" customFormat="false" ht="15" hidden="false" customHeight="false" outlineLevel="0" collapsed="false">
      <c r="A706" s="25" t="s">
        <v>120</v>
      </c>
      <c r="B706" s="26" t="n">
        <f aca="false">PlanDate-60</f>
        <v>46251</v>
      </c>
      <c r="C706" s="25" t="n">
        <v>5</v>
      </c>
    </row>
    <row r="707" customFormat="false" ht="15" hidden="false" customHeight="false" outlineLevel="0" collapsed="false">
      <c r="A707" s="25" t="s">
        <v>120</v>
      </c>
      <c r="B707" s="26" t="n">
        <f aca="false">PlanDate-59</f>
        <v>46252</v>
      </c>
      <c r="C707" s="25" t="n">
        <v>6</v>
      </c>
    </row>
    <row r="708" customFormat="false" ht="15" hidden="false" customHeight="false" outlineLevel="0" collapsed="false">
      <c r="A708" s="25" t="s">
        <v>120</v>
      </c>
      <c r="B708" s="26" t="n">
        <f aca="false">PlanDate-56</f>
        <v>46255</v>
      </c>
      <c r="C708" s="25" t="n">
        <v>6</v>
      </c>
    </row>
    <row r="709" customFormat="false" ht="15" hidden="false" customHeight="false" outlineLevel="0" collapsed="false">
      <c r="A709" s="25" t="s">
        <v>120</v>
      </c>
      <c r="B709" s="26" t="n">
        <f aca="false">PlanDate-55</f>
        <v>46256</v>
      </c>
      <c r="C709" s="25" t="n">
        <v>2</v>
      </c>
    </row>
    <row r="710" customFormat="false" ht="15" hidden="false" customHeight="false" outlineLevel="0" collapsed="false">
      <c r="A710" s="25" t="s">
        <v>120</v>
      </c>
      <c r="B710" s="26" t="n">
        <f aca="false">PlanDate-53</f>
        <v>46258</v>
      </c>
      <c r="C710" s="25" t="n">
        <v>4</v>
      </c>
    </row>
    <row r="711" customFormat="false" ht="15" hidden="false" customHeight="false" outlineLevel="0" collapsed="false">
      <c r="A711" s="25" t="s">
        <v>120</v>
      </c>
      <c r="B711" s="26" t="n">
        <f aca="false">PlanDate-52</f>
        <v>46259</v>
      </c>
      <c r="C711" s="25" t="n">
        <v>1</v>
      </c>
    </row>
    <row r="712" customFormat="false" ht="15" hidden="false" customHeight="false" outlineLevel="0" collapsed="false">
      <c r="A712" s="25" t="s">
        <v>120</v>
      </c>
      <c r="B712" s="26" t="n">
        <f aca="false">PlanDate-50</f>
        <v>46261</v>
      </c>
      <c r="C712" s="25" t="n">
        <v>5</v>
      </c>
    </row>
    <row r="713" customFormat="false" ht="15" hidden="false" customHeight="false" outlineLevel="0" collapsed="false">
      <c r="A713" s="25" t="s">
        <v>120</v>
      </c>
      <c r="B713" s="26" t="n">
        <f aca="false">PlanDate-49</f>
        <v>46262</v>
      </c>
      <c r="C713" s="25" t="n">
        <v>2</v>
      </c>
    </row>
    <row r="714" customFormat="false" ht="15" hidden="false" customHeight="false" outlineLevel="0" collapsed="false">
      <c r="A714" s="25" t="s">
        <v>120</v>
      </c>
      <c r="B714" s="26" t="n">
        <f aca="false">PlanDate-47</f>
        <v>46264</v>
      </c>
      <c r="C714" s="25" t="n">
        <v>4</v>
      </c>
    </row>
    <row r="715" customFormat="false" ht="15" hidden="false" customHeight="false" outlineLevel="0" collapsed="false">
      <c r="A715" s="25" t="s">
        <v>120</v>
      </c>
      <c r="B715" s="26" t="n">
        <f aca="false">PlanDate-46</f>
        <v>46265</v>
      </c>
      <c r="C715" s="25" t="n">
        <v>7</v>
      </c>
    </row>
    <row r="716" customFormat="false" ht="15" hidden="false" customHeight="false" outlineLevel="0" collapsed="false">
      <c r="A716" s="25" t="s">
        <v>120</v>
      </c>
      <c r="B716" s="26" t="n">
        <f aca="false">PlanDate-45</f>
        <v>46266</v>
      </c>
      <c r="C716" s="25" t="n">
        <v>10</v>
      </c>
    </row>
    <row r="717" customFormat="false" ht="15" hidden="false" customHeight="false" outlineLevel="0" collapsed="false">
      <c r="A717" s="25" t="s">
        <v>120</v>
      </c>
      <c r="B717" s="26" t="n">
        <f aca="false">PlanDate-42</f>
        <v>46269</v>
      </c>
      <c r="C717" s="25" t="n">
        <v>10</v>
      </c>
    </row>
    <row r="718" customFormat="false" ht="15" hidden="false" customHeight="false" outlineLevel="0" collapsed="false">
      <c r="A718" s="25" t="s">
        <v>120</v>
      </c>
      <c r="B718" s="26" t="n">
        <f aca="false">PlanDate-40</f>
        <v>46271</v>
      </c>
      <c r="C718" s="25" t="n">
        <v>3</v>
      </c>
    </row>
    <row r="719" customFormat="false" ht="15" hidden="false" customHeight="false" outlineLevel="0" collapsed="false">
      <c r="A719" s="25" t="s">
        <v>120</v>
      </c>
      <c r="B719" s="26" t="n">
        <f aca="false">PlanDate-39</f>
        <v>46272</v>
      </c>
      <c r="C719" s="25" t="n">
        <v>8</v>
      </c>
    </row>
    <row r="720" customFormat="false" ht="15" hidden="false" customHeight="false" outlineLevel="0" collapsed="false">
      <c r="A720" s="25" t="s">
        <v>120</v>
      </c>
      <c r="B720" s="26" t="n">
        <f aca="false">PlanDate-38</f>
        <v>46273</v>
      </c>
      <c r="C720" s="25" t="n">
        <v>6</v>
      </c>
    </row>
    <row r="721" customFormat="false" ht="15" hidden="false" customHeight="false" outlineLevel="0" collapsed="false">
      <c r="A721" s="25" t="s">
        <v>120</v>
      </c>
      <c r="B721" s="26" t="n">
        <f aca="false">PlanDate-37</f>
        <v>46274</v>
      </c>
      <c r="C721" s="25" t="n">
        <v>7</v>
      </c>
    </row>
    <row r="722" customFormat="false" ht="15" hidden="false" customHeight="false" outlineLevel="0" collapsed="false">
      <c r="A722" s="25" t="s">
        <v>120</v>
      </c>
      <c r="B722" s="26" t="n">
        <f aca="false">PlanDate-35</f>
        <v>46276</v>
      </c>
      <c r="C722" s="25" t="n">
        <v>2</v>
      </c>
    </row>
    <row r="723" customFormat="false" ht="15" hidden="false" customHeight="false" outlineLevel="0" collapsed="false">
      <c r="A723" s="25" t="s">
        <v>120</v>
      </c>
      <c r="B723" s="26" t="n">
        <f aca="false">PlanDate-31</f>
        <v>46280</v>
      </c>
      <c r="C723" s="25" t="n">
        <v>8</v>
      </c>
    </row>
    <row r="724" customFormat="false" ht="15" hidden="false" customHeight="false" outlineLevel="0" collapsed="false">
      <c r="A724" s="25" t="s">
        <v>120</v>
      </c>
      <c r="B724" s="26" t="n">
        <f aca="false">PlanDate-27</f>
        <v>46284</v>
      </c>
      <c r="C724" s="25" t="n">
        <v>4</v>
      </c>
    </row>
    <row r="725" customFormat="false" ht="15" hidden="false" customHeight="false" outlineLevel="0" collapsed="false">
      <c r="A725" s="25" t="s">
        <v>120</v>
      </c>
      <c r="B725" s="26" t="n">
        <f aca="false">PlanDate-25</f>
        <v>46286</v>
      </c>
      <c r="C725" s="25" t="n">
        <v>5</v>
      </c>
    </row>
    <row r="726" customFormat="false" ht="15" hidden="false" customHeight="false" outlineLevel="0" collapsed="false">
      <c r="A726" s="25" t="s">
        <v>120</v>
      </c>
      <c r="B726" s="26" t="n">
        <f aca="false">PlanDate-23</f>
        <v>46288</v>
      </c>
      <c r="C726" s="25" t="n">
        <v>2</v>
      </c>
    </row>
    <row r="727" customFormat="false" ht="15" hidden="false" customHeight="false" outlineLevel="0" collapsed="false">
      <c r="A727" s="25" t="s">
        <v>120</v>
      </c>
      <c r="B727" s="26" t="n">
        <f aca="false">PlanDate-19</f>
        <v>46292</v>
      </c>
      <c r="C727" s="25" t="n">
        <v>5</v>
      </c>
    </row>
    <row r="728" customFormat="false" ht="15" hidden="false" customHeight="false" outlineLevel="0" collapsed="false">
      <c r="A728" s="25" t="s">
        <v>120</v>
      </c>
      <c r="B728" s="26" t="n">
        <f aca="false">PlanDate-17</f>
        <v>46294</v>
      </c>
      <c r="C728" s="25" t="n">
        <v>2</v>
      </c>
    </row>
    <row r="729" customFormat="false" ht="15" hidden="false" customHeight="false" outlineLevel="0" collapsed="false">
      <c r="A729" s="25" t="s">
        <v>120</v>
      </c>
      <c r="B729" s="26" t="n">
        <f aca="false">PlanDate-16</f>
        <v>46295</v>
      </c>
      <c r="C729" s="25" t="n">
        <v>7</v>
      </c>
    </row>
    <row r="730" customFormat="false" ht="15" hidden="false" customHeight="false" outlineLevel="0" collapsed="false">
      <c r="A730" s="25" t="s">
        <v>120</v>
      </c>
      <c r="B730" s="26" t="n">
        <f aca="false">PlanDate-15</f>
        <v>46296</v>
      </c>
      <c r="C730" s="25" t="n">
        <v>9</v>
      </c>
    </row>
    <row r="731" customFormat="false" ht="15" hidden="false" customHeight="false" outlineLevel="0" collapsed="false">
      <c r="A731" s="25" t="s">
        <v>120</v>
      </c>
      <c r="B731" s="26" t="n">
        <f aca="false">PlanDate-9</f>
        <v>46302</v>
      </c>
      <c r="C731" s="25" t="n">
        <v>9</v>
      </c>
    </row>
    <row r="732" customFormat="false" ht="15" hidden="false" customHeight="false" outlineLevel="0" collapsed="false">
      <c r="A732" s="25" t="s">
        <v>120</v>
      </c>
      <c r="B732" s="26" t="n">
        <f aca="false">PlanDate-8</f>
        <v>46303</v>
      </c>
      <c r="C732" s="25" t="n">
        <v>2</v>
      </c>
    </row>
    <row r="733" customFormat="false" ht="15" hidden="false" customHeight="false" outlineLevel="0" collapsed="false">
      <c r="A733" s="25" t="s">
        <v>120</v>
      </c>
      <c r="B733" s="26" t="n">
        <f aca="false">PlanDate-7</f>
        <v>46304</v>
      </c>
      <c r="C733" s="25" t="n">
        <v>7</v>
      </c>
    </row>
    <row r="734" customFormat="false" ht="15" hidden="false" customHeight="false" outlineLevel="0" collapsed="false">
      <c r="A734" s="25" t="s">
        <v>120</v>
      </c>
      <c r="B734" s="26" t="n">
        <f aca="false">PlanDate-6</f>
        <v>46305</v>
      </c>
      <c r="C734" s="25" t="n">
        <v>8</v>
      </c>
    </row>
    <row r="735" customFormat="false" ht="15" hidden="false" customHeight="false" outlineLevel="0" collapsed="false">
      <c r="A735" s="25" t="s">
        <v>120</v>
      </c>
      <c r="B735" s="26" t="n">
        <f aca="false">PlanDate-5</f>
        <v>46306</v>
      </c>
      <c r="C735" s="25" t="n">
        <v>3</v>
      </c>
    </row>
    <row r="736" customFormat="false" ht="15" hidden="false" customHeight="false" outlineLevel="0" collapsed="false">
      <c r="A736" s="25" t="s">
        <v>120</v>
      </c>
      <c r="B736" s="26" t="n">
        <f aca="false">PlanDate-3</f>
        <v>46308</v>
      </c>
      <c r="C736" s="25" t="n">
        <v>10</v>
      </c>
    </row>
    <row r="737" customFormat="false" ht="15" hidden="false" customHeight="false" outlineLevel="0" collapsed="false">
      <c r="A737" s="25" t="s">
        <v>120</v>
      </c>
      <c r="B737" s="26" t="n">
        <f aca="false">PlanDate-1</f>
        <v>46310</v>
      </c>
      <c r="C737" s="25" t="n">
        <v>2</v>
      </c>
    </row>
    <row r="738" customFormat="false" ht="15" hidden="false" customHeight="false" outlineLevel="0" collapsed="false">
      <c r="A738" s="25" t="s">
        <v>122</v>
      </c>
      <c r="B738" s="26" t="n">
        <f aca="false">PlanDate-120</f>
        <v>46191</v>
      </c>
      <c r="C738" s="25" t="n">
        <v>8</v>
      </c>
    </row>
    <row r="739" customFormat="false" ht="15" hidden="false" customHeight="false" outlineLevel="0" collapsed="false">
      <c r="A739" s="25" t="s">
        <v>122</v>
      </c>
      <c r="B739" s="26" t="n">
        <f aca="false">PlanDate-119</f>
        <v>46192</v>
      </c>
      <c r="C739" s="25" t="n">
        <v>8</v>
      </c>
    </row>
    <row r="740" customFormat="false" ht="15" hidden="false" customHeight="false" outlineLevel="0" collapsed="false">
      <c r="A740" s="25" t="s">
        <v>122</v>
      </c>
      <c r="B740" s="26" t="n">
        <f aca="false">PlanDate-118</f>
        <v>46193</v>
      </c>
      <c r="C740" s="25" t="n">
        <v>4</v>
      </c>
    </row>
    <row r="741" customFormat="false" ht="15" hidden="false" customHeight="false" outlineLevel="0" collapsed="false">
      <c r="A741" s="25" t="s">
        <v>122</v>
      </c>
      <c r="B741" s="26" t="n">
        <f aca="false">PlanDate-117</f>
        <v>46194</v>
      </c>
      <c r="C741" s="25" t="n">
        <v>6</v>
      </c>
    </row>
    <row r="742" customFormat="false" ht="15" hidden="false" customHeight="false" outlineLevel="0" collapsed="false">
      <c r="A742" s="25" t="s">
        <v>122</v>
      </c>
      <c r="B742" s="26" t="n">
        <f aca="false">PlanDate-116</f>
        <v>46195</v>
      </c>
      <c r="C742" s="25" t="n">
        <v>4</v>
      </c>
    </row>
    <row r="743" customFormat="false" ht="15" hidden="false" customHeight="false" outlineLevel="0" collapsed="false">
      <c r="A743" s="25" t="s">
        <v>122</v>
      </c>
      <c r="B743" s="26" t="n">
        <f aca="false">PlanDate-115</f>
        <v>46196</v>
      </c>
      <c r="C743" s="25" t="n">
        <v>6</v>
      </c>
    </row>
    <row r="744" customFormat="false" ht="15" hidden="false" customHeight="false" outlineLevel="0" collapsed="false">
      <c r="A744" s="25" t="s">
        <v>122</v>
      </c>
      <c r="B744" s="26" t="n">
        <f aca="false">PlanDate-114</f>
        <v>46197</v>
      </c>
      <c r="C744" s="25" t="n">
        <v>4</v>
      </c>
    </row>
    <row r="745" customFormat="false" ht="15" hidden="false" customHeight="false" outlineLevel="0" collapsed="false">
      <c r="A745" s="25" t="s">
        <v>122</v>
      </c>
      <c r="B745" s="26" t="n">
        <f aca="false">PlanDate-113</f>
        <v>46198</v>
      </c>
      <c r="C745" s="25" t="n">
        <v>3</v>
      </c>
    </row>
    <row r="746" customFormat="false" ht="15" hidden="false" customHeight="false" outlineLevel="0" collapsed="false">
      <c r="A746" s="25" t="s">
        <v>122</v>
      </c>
      <c r="B746" s="26" t="n">
        <f aca="false">PlanDate-112</f>
        <v>46199</v>
      </c>
      <c r="C746" s="25" t="n">
        <v>7</v>
      </c>
    </row>
    <row r="747" customFormat="false" ht="15" hidden="false" customHeight="false" outlineLevel="0" collapsed="false">
      <c r="A747" s="25" t="s">
        <v>122</v>
      </c>
      <c r="B747" s="26" t="n">
        <f aca="false">PlanDate-111</f>
        <v>46200</v>
      </c>
      <c r="C747" s="25" t="n">
        <v>8</v>
      </c>
    </row>
    <row r="748" customFormat="false" ht="15" hidden="false" customHeight="false" outlineLevel="0" collapsed="false">
      <c r="A748" s="25" t="s">
        <v>122</v>
      </c>
      <c r="B748" s="26" t="n">
        <f aca="false">PlanDate-110</f>
        <v>46201</v>
      </c>
      <c r="C748" s="25" t="n">
        <v>8</v>
      </c>
    </row>
    <row r="749" customFormat="false" ht="15" hidden="false" customHeight="false" outlineLevel="0" collapsed="false">
      <c r="A749" s="25" t="s">
        <v>122</v>
      </c>
      <c r="B749" s="26" t="n">
        <f aca="false">PlanDate-109</f>
        <v>46202</v>
      </c>
      <c r="C749" s="25" t="n">
        <v>9</v>
      </c>
    </row>
    <row r="750" customFormat="false" ht="15" hidden="false" customHeight="false" outlineLevel="0" collapsed="false">
      <c r="A750" s="25" t="s">
        <v>122</v>
      </c>
      <c r="B750" s="26" t="n">
        <f aca="false">PlanDate-107</f>
        <v>46204</v>
      </c>
      <c r="C750" s="25" t="n">
        <v>8</v>
      </c>
    </row>
    <row r="751" customFormat="false" ht="15" hidden="false" customHeight="false" outlineLevel="0" collapsed="false">
      <c r="A751" s="25" t="s">
        <v>122</v>
      </c>
      <c r="B751" s="26" t="n">
        <f aca="false">PlanDate-106</f>
        <v>46205</v>
      </c>
      <c r="C751" s="25" t="n">
        <v>9</v>
      </c>
    </row>
    <row r="752" customFormat="false" ht="15" hidden="false" customHeight="false" outlineLevel="0" collapsed="false">
      <c r="A752" s="25" t="s">
        <v>122</v>
      </c>
      <c r="B752" s="26" t="n">
        <f aca="false">PlanDate-105</f>
        <v>46206</v>
      </c>
      <c r="C752" s="25" t="n">
        <v>7</v>
      </c>
    </row>
    <row r="753" customFormat="false" ht="15" hidden="false" customHeight="false" outlineLevel="0" collapsed="false">
      <c r="A753" s="25" t="s">
        <v>122</v>
      </c>
      <c r="B753" s="26" t="n">
        <f aca="false">PlanDate-103</f>
        <v>46208</v>
      </c>
      <c r="C753" s="25" t="n">
        <v>4</v>
      </c>
    </row>
    <row r="754" customFormat="false" ht="15" hidden="false" customHeight="false" outlineLevel="0" collapsed="false">
      <c r="A754" s="25" t="s">
        <v>122</v>
      </c>
      <c r="B754" s="26" t="n">
        <f aca="false">PlanDate-102</f>
        <v>46209</v>
      </c>
      <c r="C754" s="25" t="n">
        <v>5</v>
      </c>
    </row>
    <row r="755" customFormat="false" ht="15" hidden="false" customHeight="false" outlineLevel="0" collapsed="false">
      <c r="A755" s="25" t="s">
        <v>122</v>
      </c>
      <c r="B755" s="26" t="n">
        <f aca="false">PlanDate-101</f>
        <v>46210</v>
      </c>
      <c r="C755" s="25" t="n">
        <v>9</v>
      </c>
    </row>
    <row r="756" customFormat="false" ht="15" hidden="false" customHeight="false" outlineLevel="0" collapsed="false">
      <c r="A756" s="25" t="s">
        <v>122</v>
      </c>
      <c r="B756" s="26" t="n">
        <f aca="false">PlanDate-100</f>
        <v>46211</v>
      </c>
      <c r="C756" s="25" t="n">
        <v>7</v>
      </c>
    </row>
    <row r="757" customFormat="false" ht="15" hidden="false" customHeight="false" outlineLevel="0" collapsed="false">
      <c r="A757" s="25" t="s">
        <v>122</v>
      </c>
      <c r="B757" s="26" t="n">
        <f aca="false">PlanDate-99</f>
        <v>46212</v>
      </c>
      <c r="C757" s="25" t="n">
        <v>9</v>
      </c>
    </row>
    <row r="758" customFormat="false" ht="15" hidden="false" customHeight="false" outlineLevel="0" collapsed="false">
      <c r="A758" s="25" t="s">
        <v>122</v>
      </c>
      <c r="B758" s="26" t="n">
        <f aca="false">PlanDate-98</f>
        <v>46213</v>
      </c>
      <c r="C758" s="25" t="n">
        <v>8</v>
      </c>
    </row>
    <row r="759" customFormat="false" ht="15" hidden="false" customHeight="false" outlineLevel="0" collapsed="false">
      <c r="A759" s="25" t="s">
        <v>122</v>
      </c>
      <c r="B759" s="26" t="n">
        <f aca="false">PlanDate-97</f>
        <v>46214</v>
      </c>
      <c r="C759" s="25" t="n">
        <v>9</v>
      </c>
    </row>
    <row r="760" customFormat="false" ht="15" hidden="false" customHeight="false" outlineLevel="0" collapsed="false">
      <c r="A760" s="25" t="s">
        <v>122</v>
      </c>
      <c r="B760" s="26" t="n">
        <f aca="false">PlanDate-96</f>
        <v>46215</v>
      </c>
      <c r="C760" s="25" t="n">
        <v>8</v>
      </c>
    </row>
    <row r="761" customFormat="false" ht="15" hidden="false" customHeight="false" outlineLevel="0" collapsed="false">
      <c r="A761" s="25" t="s">
        <v>122</v>
      </c>
      <c r="B761" s="26" t="n">
        <f aca="false">PlanDate-94</f>
        <v>46217</v>
      </c>
      <c r="C761" s="25" t="n">
        <v>7</v>
      </c>
    </row>
    <row r="762" customFormat="false" ht="15" hidden="false" customHeight="false" outlineLevel="0" collapsed="false">
      <c r="A762" s="25" t="s">
        <v>122</v>
      </c>
      <c r="B762" s="26" t="n">
        <f aca="false">PlanDate-93</f>
        <v>46218</v>
      </c>
      <c r="C762" s="25" t="n">
        <v>7</v>
      </c>
    </row>
    <row r="763" customFormat="false" ht="15" hidden="false" customHeight="false" outlineLevel="0" collapsed="false">
      <c r="A763" s="25" t="s">
        <v>122</v>
      </c>
      <c r="B763" s="26" t="n">
        <f aca="false">PlanDate-92</f>
        <v>46219</v>
      </c>
      <c r="C763" s="25" t="n">
        <v>7</v>
      </c>
    </row>
    <row r="764" customFormat="false" ht="15" hidden="false" customHeight="false" outlineLevel="0" collapsed="false">
      <c r="A764" s="25" t="s">
        <v>122</v>
      </c>
      <c r="B764" s="26" t="n">
        <f aca="false">PlanDate-91</f>
        <v>46220</v>
      </c>
      <c r="C764" s="25" t="n">
        <v>9</v>
      </c>
    </row>
    <row r="765" customFormat="false" ht="15" hidden="false" customHeight="false" outlineLevel="0" collapsed="false">
      <c r="A765" s="25" t="s">
        <v>122</v>
      </c>
      <c r="B765" s="26" t="n">
        <f aca="false">PlanDate-90</f>
        <v>46221</v>
      </c>
      <c r="C765" s="25" t="n">
        <v>6</v>
      </c>
    </row>
    <row r="766" customFormat="false" ht="15" hidden="false" customHeight="false" outlineLevel="0" collapsed="false">
      <c r="A766" s="25" t="s">
        <v>122</v>
      </c>
      <c r="B766" s="26" t="n">
        <f aca="false">PlanDate-89</f>
        <v>46222</v>
      </c>
      <c r="C766" s="25" t="n">
        <v>8</v>
      </c>
    </row>
    <row r="767" customFormat="false" ht="15" hidden="false" customHeight="false" outlineLevel="0" collapsed="false">
      <c r="A767" s="25" t="s">
        <v>122</v>
      </c>
      <c r="B767" s="26" t="n">
        <f aca="false">PlanDate-88</f>
        <v>46223</v>
      </c>
      <c r="C767" s="25" t="n">
        <v>6</v>
      </c>
    </row>
    <row r="768" customFormat="false" ht="15" hidden="false" customHeight="false" outlineLevel="0" collapsed="false">
      <c r="A768" s="25" t="s">
        <v>122</v>
      </c>
      <c r="B768" s="26" t="n">
        <f aca="false">PlanDate-87</f>
        <v>46224</v>
      </c>
      <c r="C768" s="25" t="n">
        <v>8</v>
      </c>
    </row>
    <row r="769" customFormat="false" ht="15" hidden="false" customHeight="false" outlineLevel="0" collapsed="false">
      <c r="A769" s="25" t="s">
        <v>122</v>
      </c>
      <c r="B769" s="26" t="n">
        <f aca="false">PlanDate-86</f>
        <v>46225</v>
      </c>
      <c r="C769" s="25" t="n">
        <v>4</v>
      </c>
    </row>
    <row r="770" customFormat="false" ht="15" hidden="false" customHeight="false" outlineLevel="0" collapsed="false">
      <c r="A770" s="25" t="s">
        <v>122</v>
      </c>
      <c r="B770" s="26" t="n">
        <f aca="false">PlanDate-84</f>
        <v>46227</v>
      </c>
      <c r="C770" s="25" t="n">
        <v>6</v>
      </c>
    </row>
    <row r="771" customFormat="false" ht="15" hidden="false" customHeight="false" outlineLevel="0" collapsed="false">
      <c r="A771" s="25" t="s">
        <v>122</v>
      </c>
      <c r="B771" s="26" t="n">
        <f aca="false">PlanDate-83</f>
        <v>46228</v>
      </c>
      <c r="C771" s="25" t="n">
        <v>5</v>
      </c>
    </row>
    <row r="772" customFormat="false" ht="15" hidden="false" customHeight="false" outlineLevel="0" collapsed="false">
      <c r="A772" s="25" t="s">
        <v>122</v>
      </c>
      <c r="B772" s="26" t="n">
        <f aca="false">PlanDate-82</f>
        <v>46229</v>
      </c>
      <c r="C772" s="25" t="n">
        <v>5</v>
      </c>
    </row>
    <row r="773" customFormat="false" ht="15" hidden="false" customHeight="false" outlineLevel="0" collapsed="false">
      <c r="A773" s="25" t="s">
        <v>122</v>
      </c>
      <c r="B773" s="26" t="n">
        <f aca="false">PlanDate-81</f>
        <v>46230</v>
      </c>
      <c r="C773" s="25" t="n">
        <v>7</v>
      </c>
    </row>
    <row r="774" customFormat="false" ht="15" hidden="false" customHeight="false" outlineLevel="0" collapsed="false">
      <c r="A774" s="25" t="s">
        <v>122</v>
      </c>
      <c r="B774" s="26" t="n">
        <f aca="false">PlanDate-80</f>
        <v>46231</v>
      </c>
      <c r="C774" s="25" t="n">
        <v>5</v>
      </c>
    </row>
    <row r="775" customFormat="false" ht="15" hidden="false" customHeight="false" outlineLevel="0" collapsed="false">
      <c r="A775" s="25" t="s">
        <v>122</v>
      </c>
      <c r="B775" s="26" t="n">
        <f aca="false">PlanDate-79</f>
        <v>46232</v>
      </c>
      <c r="C775" s="25" t="n">
        <v>8</v>
      </c>
    </row>
    <row r="776" customFormat="false" ht="15" hidden="false" customHeight="false" outlineLevel="0" collapsed="false">
      <c r="A776" s="25" t="s">
        <v>122</v>
      </c>
      <c r="B776" s="26" t="n">
        <f aca="false">PlanDate-78</f>
        <v>46233</v>
      </c>
      <c r="C776" s="25" t="n">
        <v>8</v>
      </c>
    </row>
    <row r="777" customFormat="false" ht="15" hidden="false" customHeight="false" outlineLevel="0" collapsed="false">
      <c r="A777" s="25" t="s">
        <v>122</v>
      </c>
      <c r="B777" s="26" t="n">
        <f aca="false">PlanDate-77</f>
        <v>46234</v>
      </c>
      <c r="C777" s="25" t="n">
        <v>5</v>
      </c>
    </row>
    <row r="778" customFormat="false" ht="15" hidden="false" customHeight="false" outlineLevel="0" collapsed="false">
      <c r="A778" s="25" t="s">
        <v>122</v>
      </c>
      <c r="B778" s="26" t="n">
        <f aca="false">PlanDate-75</f>
        <v>46236</v>
      </c>
      <c r="C778" s="25" t="n">
        <v>4</v>
      </c>
    </row>
    <row r="779" customFormat="false" ht="15" hidden="false" customHeight="false" outlineLevel="0" collapsed="false">
      <c r="A779" s="25" t="s">
        <v>122</v>
      </c>
      <c r="B779" s="26" t="n">
        <f aca="false">PlanDate-74</f>
        <v>46237</v>
      </c>
      <c r="C779" s="25" t="n">
        <v>4</v>
      </c>
    </row>
    <row r="780" customFormat="false" ht="15" hidden="false" customHeight="false" outlineLevel="0" collapsed="false">
      <c r="A780" s="25" t="s">
        <v>122</v>
      </c>
      <c r="B780" s="26" t="n">
        <f aca="false">PlanDate-73</f>
        <v>46238</v>
      </c>
      <c r="C780" s="25" t="n">
        <v>5</v>
      </c>
    </row>
    <row r="781" customFormat="false" ht="15" hidden="false" customHeight="false" outlineLevel="0" collapsed="false">
      <c r="A781" s="25" t="s">
        <v>122</v>
      </c>
      <c r="B781" s="26" t="n">
        <f aca="false">PlanDate-72</f>
        <v>46239</v>
      </c>
      <c r="C781" s="25" t="n">
        <v>8</v>
      </c>
    </row>
    <row r="782" customFormat="false" ht="15" hidden="false" customHeight="false" outlineLevel="0" collapsed="false">
      <c r="A782" s="25" t="s">
        <v>122</v>
      </c>
      <c r="B782" s="26" t="n">
        <f aca="false">PlanDate-71</f>
        <v>46240</v>
      </c>
      <c r="C782" s="25" t="n">
        <v>6</v>
      </c>
    </row>
    <row r="783" customFormat="false" ht="15" hidden="false" customHeight="false" outlineLevel="0" collapsed="false">
      <c r="A783" s="25" t="s">
        <v>122</v>
      </c>
      <c r="B783" s="26" t="n">
        <f aca="false">PlanDate-69</f>
        <v>46242</v>
      </c>
      <c r="C783" s="25" t="n">
        <v>9</v>
      </c>
    </row>
    <row r="784" customFormat="false" ht="15" hidden="false" customHeight="false" outlineLevel="0" collapsed="false">
      <c r="A784" s="25" t="s">
        <v>122</v>
      </c>
      <c r="B784" s="26" t="n">
        <f aca="false">PlanDate-68</f>
        <v>46243</v>
      </c>
      <c r="C784" s="25" t="n">
        <v>9</v>
      </c>
    </row>
    <row r="785" customFormat="false" ht="15" hidden="false" customHeight="false" outlineLevel="0" collapsed="false">
      <c r="A785" s="25" t="s">
        <v>122</v>
      </c>
      <c r="B785" s="26" t="n">
        <f aca="false">PlanDate-67</f>
        <v>46244</v>
      </c>
      <c r="C785" s="25" t="n">
        <v>3</v>
      </c>
    </row>
    <row r="786" customFormat="false" ht="15" hidden="false" customHeight="false" outlineLevel="0" collapsed="false">
      <c r="A786" s="25" t="s">
        <v>122</v>
      </c>
      <c r="B786" s="26" t="n">
        <f aca="false">PlanDate-64</f>
        <v>46247</v>
      </c>
      <c r="C786" s="25" t="n">
        <v>3</v>
      </c>
    </row>
    <row r="787" customFormat="false" ht="15" hidden="false" customHeight="false" outlineLevel="0" collapsed="false">
      <c r="A787" s="25" t="s">
        <v>122</v>
      </c>
      <c r="B787" s="26" t="n">
        <f aca="false">PlanDate-63</f>
        <v>46248</v>
      </c>
      <c r="C787" s="25" t="n">
        <v>4</v>
      </c>
    </row>
    <row r="788" customFormat="false" ht="15" hidden="false" customHeight="false" outlineLevel="0" collapsed="false">
      <c r="A788" s="25" t="s">
        <v>122</v>
      </c>
      <c r="B788" s="26" t="n">
        <f aca="false">PlanDate-62</f>
        <v>46249</v>
      </c>
      <c r="C788" s="25" t="n">
        <v>9</v>
      </c>
    </row>
    <row r="789" customFormat="false" ht="15" hidden="false" customHeight="false" outlineLevel="0" collapsed="false">
      <c r="A789" s="25" t="s">
        <v>122</v>
      </c>
      <c r="B789" s="26" t="n">
        <f aca="false">PlanDate-61</f>
        <v>46250</v>
      </c>
      <c r="C789" s="25" t="n">
        <v>5</v>
      </c>
    </row>
    <row r="790" customFormat="false" ht="15" hidden="false" customHeight="false" outlineLevel="0" collapsed="false">
      <c r="A790" s="25" t="s">
        <v>122</v>
      </c>
      <c r="B790" s="26" t="n">
        <f aca="false">PlanDate-60</f>
        <v>46251</v>
      </c>
      <c r="C790" s="25" t="n">
        <v>6</v>
      </c>
    </row>
    <row r="791" customFormat="false" ht="15" hidden="false" customHeight="false" outlineLevel="0" collapsed="false">
      <c r="A791" s="25" t="s">
        <v>122</v>
      </c>
      <c r="B791" s="26" t="n">
        <f aca="false">PlanDate-59</f>
        <v>46252</v>
      </c>
      <c r="C791" s="25" t="n">
        <v>9</v>
      </c>
    </row>
    <row r="792" customFormat="false" ht="15" hidden="false" customHeight="false" outlineLevel="0" collapsed="false">
      <c r="A792" s="25" t="s">
        <v>122</v>
      </c>
      <c r="B792" s="26" t="n">
        <f aca="false">PlanDate-57</f>
        <v>46254</v>
      </c>
      <c r="C792" s="25" t="n">
        <v>7</v>
      </c>
    </row>
    <row r="793" customFormat="false" ht="15" hidden="false" customHeight="false" outlineLevel="0" collapsed="false">
      <c r="A793" s="25" t="s">
        <v>122</v>
      </c>
      <c r="B793" s="26" t="n">
        <f aca="false">PlanDate-56</f>
        <v>46255</v>
      </c>
      <c r="C793" s="25" t="n">
        <v>9</v>
      </c>
    </row>
    <row r="794" customFormat="false" ht="15" hidden="false" customHeight="false" outlineLevel="0" collapsed="false">
      <c r="A794" s="25" t="s">
        <v>122</v>
      </c>
      <c r="B794" s="26" t="n">
        <f aca="false">PlanDate-55</f>
        <v>46256</v>
      </c>
      <c r="C794" s="25" t="n">
        <v>8</v>
      </c>
    </row>
    <row r="795" customFormat="false" ht="15" hidden="false" customHeight="false" outlineLevel="0" collapsed="false">
      <c r="A795" s="25" t="s">
        <v>122</v>
      </c>
      <c r="B795" s="26" t="n">
        <f aca="false">PlanDate-52</f>
        <v>46259</v>
      </c>
      <c r="C795" s="25" t="n">
        <v>7</v>
      </c>
    </row>
    <row r="796" customFormat="false" ht="15" hidden="false" customHeight="false" outlineLevel="0" collapsed="false">
      <c r="A796" s="25" t="s">
        <v>122</v>
      </c>
      <c r="B796" s="26" t="n">
        <f aca="false">PlanDate-50</f>
        <v>46261</v>
      </c>
      <c r="C796" s="25" t="n">
        <v>4</v>
      </c>
    </row>
    <row r="797" customFormat="false" ht="15" hidden="false" customHeight="false" outlineLevel="0" collapsed="false">
      <c r="A797" s="25" t="s">
        <v>122</v>
      </c>
      <c r="B797" s="26" t="n">
        <f aca="false">PlanDate-49</f>
        <v>46262</v>
      </c>
      <c r="C797" s="25" t="n">
        <v>9</v>
      </c>
    </row>
    <row r="798" customFormat="false" ht="15" hidden="false" customHeight="false" outlineLevel="0" collapsed="false">
      <c r="A798" s="25" t="s">
        <v>122</v>
      </c>
      <c r="B798" s="26" t="n">
        <f aca="false">PlanDate-48</f>
        <v>46263</v>
      </c>
      <c r="C798" s="25" t="n">
        <v>9</v>
      </c>
    </row>
    <row r="799" customFormat="false" ht="15" hidden="false" customHeight="false" outlineLevel="0" collapsed="false">
      <c r="A799" s="25" t="s">
        <v>122</v>
      </c>
      <c r="B799" s="26" t="n">
        <f aca="false">PlanDate-47</f>
        <v>46264</v>
      </c>
      <c r="C799" s="25" t="n">
        <v>8</v>
      </c>
    </row>
    <row r="800" customFormat="false" ht="15" hidden="false" customHeight="false" outlineLevel="0" collapsed="false">
      <c r="A800" s="25" t="s">
        <v>122</v>
      </c>
      <c r="B800" s="26" t="n">
        <f aca="false">PlanDate-46</f>
        <v>46265</v>
      </c>
      <c r="C800" s="25" t="n">
        <v>4</v>
      </c>
    </row>
    <row r="801" customFormat="false" ht="15" hidden="false" customHeight="false" outlineLevel="0" collapsed="false">
      <c r="A801" s="25" t="s">
        <v>122</v>
      </c>
      <c r="B801" s="26" t="n">
        <f aca="false">PlanDate-44</f>
        <v>46267</v>
      </c>
      <c r="C801" s="25" t="n">
        <v>7</v>
      </c>
    </row>
    <row r="802" customFormat="false" ht="15" hidden="false" customHeight="false" outlineLevel="0" collapsed="false">
      <c r="A802" s="25" t="s">
        <v>122</v>
      </c>
      <c r="B802" s="26" t="n">
        <f aca="false">PlanDate-43</f>
        <v>46268</v>
      </c>
      <c r="C802" s="25" t="n">
        <v>8</v>
      </c>
    </row>
    <row r="803" customFormat="false" ht="15" hidden="false" customHeight="false" outlineLevel="0" collapsed="false">
      <c r="A803" s="25" t="s">
        <v>122</v>
      </c>
      <c r="B803" s="26" t="n">
        <f aca="false">PlanDate-41</f>
        <v>46270</v>
      </c>
      <c r="C803" s="25" t="n">
        <v>5</v>
      </c>
    </row>
    <row r="804" customFormat="false" ht="15" hidden="false" customHeight="false" outlineLevel="0" collapsed="false">
      <c r="A804" s="25" t="s">
        <v>122</v>
      </c>
      <c r="B804" s="26" t="n">
        <f aca="false">PlanDate-39</f>
        <v>46272</v>
      </c>
      <c r="C804" s="25" t="n">
        <v>4</v>
      </c>
    </row>
    <row r="805" customFormat="false" ht="15" hidden="false" customHeight="false" outlineLevel="0" collapsed="false">
      <c r="A805" s="25" t="s">
        <v>122</v>
      </c>
      <c r="B805" s="26" t="n">
        <f aca="false">PlanDate-38</f>
        <v>46273</v>
      </c>
      <c r="C805" s="25" t="n">
        <v>3</v>
      </c>
    </row>
    <row r="806" customFormat="false" ht="15" hidden="false" customHeight="false" outlineLevel="0" collapsed="false">
      <c r="A806" s="25" t="s">
        <v>122</v>
      </c>
      <c r="B806" s="26" t="n">
        <f aca="false">PlanDate-35</f>
        <v>46276</v>
      </c>
      <c r="C806" s="25" t="n">
        <v>7</v>
      </c>
    </row>
    <row r="807" customFormat="false" ht="15" hidden="false" customHeight="false" outlineLevel="0" collapsed="false">
      <c r="A807" s="25" t="s">
        <v>122</v>
      </c>
      <c r="B807" s="26" t="n">
        <f aca="false">PlanDate-34</f>
        <v>46277</v>
      </c>
      <c r="C807" s="25" t="n">
        <v>7</v>
      </c>
    </row>
    <row r="808" customFormat="false" ht="15" hidden="false" customHeight="false" outlineLevel="0" collapsed="false">
      <c r="A808" s="25" t="s">
        <v>122</v>
      </c>
      <c r="B808" s="26" t="n">
        <f aca="false">PlanDate-33</f>
        <v>46278</v>
      </c>
      <c r="C808" s="25" t="n">
        <v>5</v>
      </c>
    </row>
    <row r="809" customFormat="false" ht="15" hidden="false" customHeight="false" outlineLevel="0" collapsed="false">
      <c r="A809" s="25" t="s">
        <v>122</v>
      </c>
      <c r="B809" s="26" t="n">
        <f aca="false">PlanDate-31</f>
        <v>46280</v>
      </c>
      <c r="C809" s="25" t="n">
        <v>7</v>
      </c>
    </row>
    <row r="810" customFormat="false" ht="15" hidden="false" customHeight="false" outlineLevel="0" collapsed="false">
      <c r="A810" s="25" t="s">
        <v>122</v>
      </c>
      <c r="B810" s="26" t="n">
        <f aca="false">PlanDate-30</f>
        <v>46281</v>
      </c>
      <c r="C810" s="25" t="n">
        <v>6</v>
      </c>
    </row>
    <row r="811" customFormat="false" ht="15" hidden="false" customHeight="false" outlineLevel="0" collapsed="false">
      <c r="A811" s="25" t="s">
        <v>122</v>
      </c>
      <c r="B811" s="26" t="n">
        <f aca="false">PlanDate-29</f>
        <v>46282</v>
      </c>
      <c r="C811" s="25" t="n">
        <v>8</v>
      </c>
    </row>
    <row r="812" customFormat="false" ht="15" hidden="false" customHeight="false" outlineLevel="0" collapsed="false">
      <c r="A812" s="25" t="s">
        <v>122</v>
      </c>
      <c r="B812" s="26" t="n">
        <f aca="false">PlanDate-28</f>
        <v>46283</v>
      </c>
      <c r="C812" s="25" t="n">
        <v>6</v>
      </c>
    </row>
    <row r="813" customFormat="false" ht="15" hidden="false" customHeight="false" outlineLevel="0" collapsed="false">
      <c r="A813" s="25" t="s">
        <v>122</v>
      </c>
      <c r="B813" s="26" t="n">
        <f aca="false">PlanDate-27</f>
        <v>46284</v>
      </c>
      <c r="C813" s="25" t="n">
        <v>5</v>
      </c>
    </row>
    <row r="814" customFormat="false" ht="15" hidden="false" customHeight="false" outlineLevel="0" collapsed="false">
      <c r="A814" s="25" t="s">
        <v>122</v>
      </c>
      <c r="B814" s="26" t="n">
        <f aca="false">PlanDate-26</f>
        <v>46285</v>
      </c>
      <c r="C814" s="25" t="n">
        <v>4</v>
      </c>
    </row>
    <row r="815" customFormat="false" ht="15" hidden="false" customHeight="false" outlineLevel="0" collapsed="false">
      <c r="A815" s="25" t="s">
        <v>122</v>
      </c>
      <c r="B815" s="26" t="n">
        <f aca="false">PlanDate-25</f>
        <v>46286</v>
      </c>
      <c r="C815" s="25" t="n">
        <v>5</v>
      </c>
    </row>
    <row r="816" customFormat="false" ht="15" hidden="false" customHeight="false" outlineLevel="0" collapsed="false">
      <c r="A816" s="25" t="s">
        <v>122</v>
      </c>
      <c r="B816" s="26" t="n">
        <f aca="false">PlanDate-24</f>
        <v>46287</v>
      </c>
      <c r="C816" s="25" t="n">
        <v>9</v>
      </c>
    </row>
    <row r="817" customFormat="false" ht="15" hidden="false" customHeight="false" outlineLevel="0" collapsed="false">
      <c r="A817" s="25" t="s">
        <v>122</v>
      </c>
      <c r="B817" s="26" t="n">
        <f aca="false">PlanDate-23</f>
        <v>46288</v>
      </c>
      <c r="C817" s="25" t="n">
        <v>8</v>
      </c>
    </row>
    <row r="818" customFormat="false" ht="15" hidden="false" customHeight="false" outlineLevel="0" collapsed="false">
      <c r="A818" s="25" t="s">
        <v>122</v>
      </c>
      <c r="B818" s="26" t="n">
        <f aca="false">PlanDate-22</f>
        <v>46289</v>
      </c>
      <c r="C818" s="25" t="n">
        <v>5</v>
      </c>
    </row>
    <row r="819" customFormat="false" ht="15" hidden="false" customHeight="false" outlineLevel="0" collapsed="false">
      <c r="A819" s="25" t="s">
        <v>122</v>
      </c>
      <c r="B819" s="26" t="n">
        <f aca="false">PlanDate-20</f>
        <v>46291</v>
      </c>
      <c r="C819" s="25" t="n">
        <v>8</v>
      </c>
    </row>
    <row r="820" customFormat="false" ht="15" hidden="false" customHeight="false" outlineLevel="0" collapsed="false">
      <c r="A820" s="25" t="s">
        <v>122</v>
      </c>
      <c r="B820" s="26" t="n">
        <f aca="false">PlanDate-19</f>
        <v>46292</v>
      </c>
      <c r="C820" s="25" t="n">
        <v>4</v>
      </c>
    </row>
    <row r="821" customFormat="false" ht="15" hidden="false" customHeight="false" outlineLevel="0" collapsed="false">
      <c r="A821" s="25" t="s">
        <v>122</v>
      </c>
      <c r="B821" s="26" t="n">
        <f aca="false">PlanDate-18</f>
        <v>46293</v>
      </c>
      <c r="C821" s="25" t="n">
        <v>8</v>
      </c>
    </row>
    <row r="822" customFormat="false" ht="15" hidden="false" customHeight="false" outlineLevel="0" collapsed="false">
      <c r="A822" s="25" t="s">
        <v>122</v>
      </c>
      <c r="B822" s="26" t="n">
        <f aca="false">PlanDate-17</f>
        <v>46294</v>
      </c>
      <c r="C822" s="25" t="n">
        <v>8</v>
      </c>
    </row>
    <row r="823" customFormat="false" ht="15" hidden="false" customHeight="false" outlineLevel="0" collapsed="false">
      <c r="A823" s="25" t="s">
        <v>122</v>
      </c>
      <c r="B823" s="26" t="n">
        <f aca="false">PlanDate-16</f>
        <v>46295</v>
      </c>
      <c r="C823" s="25" t="n">
        <v>4</v>
      </c>
    </row>
    <row r="824" customFormat="false" ht="15" hidden="false" customHeight="false" outlineLevel="0" collapsed="false">
      <c r="A824" s="25" t="s">
        <v>122</v>
      </c>
      <c r="B824" s="26" t="n">
        <f aca="false">PlanDate-15</f>
        <v>46296</v>
      </c>
      <c r="C824" s="25" t="n">
        <v>6</v>
      </c>
    </row>
    <row r="825" customFormat="false" ht="15" hidden="false" customHeight="false" outlineLevel="0" collapsed="false">
      <c r="A825" s="25" t="s">
        <v>122</v>
      </c>
      <c r="B825" s="26" t="n">
        <f aca="false">PlanDate-14</f>
        <v>46297</v>
      </c>
      <c r="C825" s="25" t="n">
        <v>7</v>
      </c>
    </row>
    <row r="826" customFormat="false" ht="15" hidden="false" customHeight="false" outlineLevel="0" collapsed="false">
      <c r="A826" s="25" t="s">
        <v>122</v>
      </c>
      <c r="B826" s="26" t="n">
        <f aca="false">PlanDate-12</f>
        <v>46299</v>
      </c>
      <c r="C826" s="25" t="n">
        <v>3</v>
      </c>
    </row>
    <row r="827" customFormat="false" ht="15" hidden="false" customHeight="false" outlineLevel="0" collapsed="false">
      <c r="A827" s="25" t="s">
        <v>122</v>
      </c>
      <c r="B827" s="26" t="n">
        <f aca="false">PlanDate-11</f>
        <v>46300</v>
      </c>
      <c r="C827" s="25" t="n">
        <v>7</v>
      </c>
    </row>
    <row r="828" customFormat="false" ht="15" hidden="false" customHeight="false" outlineLevel="0" collapsed="false">
      <c r="A828" s="25" t="s">
        <v>122</v>
      </c>
      <c r="B828" s="26" t="n">
        <f aca="false">PlanDate-9</f>
        <v>46302</v>
      </c>
      <c r="C828" s="25" t="n">
        <v>5</v>
      </c>
    </row>
    <row r="829" customFormat="false" ht="15" hidden="false" customHeight="false" outlineLevel="0" collapsed="false">
      <c r="A829" s="25" t="s">
        <v>122</v>
      </c>
      <c r="B829" s="26" t="n">
        <f aca="false">PlanDate-8</f>
        <v>46303</v>
      </c>
      <c r="C829" s="25" t="n">
        <v>9</v>
      </c>
    </row>
    <row r="830" customFormat="false" ht="15" hidden="false" customHeight="false" outlineLevel="0" collapsed="false">
      <c r="A830" s="25" t="s">
        <v>122</v>
      </c>
      <c r="B830" s="26" t="n">
        <f aca="false">PlanDate-7</f>
        <v>46304</v>
      </c>
      <c r="C830" s="25" t="n">
        <v>6</v>
      </c>
    </row>
    <row r="831" customFormat="false" ht="15" hidden="false" customHeight="false" outlineLevel="0" collapsed="false">
      <c r="A831" s="25" t="s">
        <v>122</v>
      </c>
      <c r="B831" s="26" t="n">
        <f aca="false">PlanDate-6</f>
        <v>46305</v>
      </c>
      <c r="C831" s="25" t="n">
        <v>7</v>
      </c>
    </row>
    <row r="832" customFormat="false" ht="15" hidden="false" customHeight="false" outlineLevel="0" collapsed="false">
      <c r="A832" s="25" t="s">
        <v>122</v>
      </c>
      <c r="B832" s="26" t="n">
        <f aca="false">PlanDate-4</f>
        <v>46307</v>
      </c>
      <c r="C832" s="25" t="n">
        <v>7</v>
      </c>
    </row>
    <row r="833" customFormat="false" ht="15" hidden="false" customHeight="false" outlineLevel="0" collapsed="false">
      <c r="A833" s="25" t="s">
        <v>122</v>
      </c>
      <c r="B833" s="26" t="n">
        <f aca="false">PlanDate-2</f>
        <v>46309</v>
      </c>
      <c r="C833" s="25" t="n">
        <v>5</v>
      </c>
    </row>
    <row r="834" customFormat="false" ht="15" hidden="false" customHeight="false" outlineLevel="0" collapsed="false">
      <c r="A834" s="25" t="s">
        <v>124</v>
      </c>
      <c r="B834" s="26" t="n">
        <f aca="false">PlanDate-120</f>
        <v>46191</v>
      </c>
      <c r="C834" s="25" t="n">
        <v>20</v>
      </c>
    </row>
    <row r="835" customFormat="false" ht="15" hidden="false" customHeight="false" outlineLevel="0" collapsed="false">
      <c r="A835" s="25" t="s">
        <v>124</v>
      </c>
      <c r="B835" s="26" t="n">
        <f aca="false">PlanDate-119</f>
        <v>46192</v>
      </c>
      <c r="C835" s="25" t="n">
        <v>17</v>
      </c>
    </row>
    <row r="836" customFormat="false" ht="15" hidden="false" customHeight="false" outlineLevel="0" collapsed="false">
      <c r="A836" s="25" t="s">
        <v>124</v>
      </c>
      <c r="B836" s="26" t="n">
        <f aca="false">PlanDate-118</f>
        <v>46193</v>
      </c>
      <c r="C836" s="25" t="n">
        <v>16</v>
      </c>
    </row>
    <row r="837" customFormat="false" ht="15" hidden="false" customHeight="false" outlineLevel="0" collapsed="false">
      <c r="A837" s="25" t="s">
        <v>124</v>
      </c>
      <c r="B837" s="26" t="n">
        <f aca="false">PlanDate-117</f>
        <v>46194</v>
      </c>
      <c r="C837" s="25" t="n">
        <v>21</v>
      </c>
    </row>
    <row r="838" customFormat="false" ht="15" hidden="false" customHeight="false" outlineLevel="0" collapsed="false">
      <c r="A838" s="25" t="s">
        <v>124</v>
      </c>
      <c r="B838" s="26" t="n">
        <f aca="false">PlanDate-116</f>
        <v>46195</v>
      </c>
      <c r="C838" s="25" t="n">
        <v>20</v>
      </c>
    </row>
    <row r="839" customFormat="false" ht="15" hidden="false" customHeight="false" outlineLevel="0" collapsed="false">
      <c r="A839" s="25" t="s">
        <v>124</v>
      </c>
      <c r="B839" s="26" t="n">
        <f aca="false">PlanDate-115</f>
        <v>46196</v>
      </c>
      <c r="C839" s="25" t="n">
        <v>18</v>
      </c>
    </row>
    <row r="840" customFormat="false" ht="15" hidden="false" customHeight="false" outlineLevel="0" collapsed="false">
      <c r="A840" s="25" t="s">
        <v>124</v>
      </c>
      <c r="B840" s="26" t="n">
        <f aca="false">PlanDate-114</f>
        <v>46197</v>
      </c>
      <c r="C840" s="25" t="n">
        <v>23</v>
      </c>
    </row>
    <row r="841" customFormat="false" ht="15" hidden="false" customHeight="false" outlineLevel="0" collapsed="false">
      <c r="A841" s="25" t="s">
        <v>124</v>
      </c>
      <c r="B841" s="26" t="n">
        <f aca="false">PlanDate-113</f>
        <v>46198</v>
      </c>
      <c r="C841" s="25" t="n">
        <v>19</v>
      </c>
    </row>
    <row r="842" customFormat="false" ht="15" hidden="false" customHeight="false" outlineLevel="0" collapsed="false">
      <c r="A842" s="25" t="s">
        <v>124</v>
      </c>
      <c r="B842" s="26" t="n">
        <f aca="false">PlanDate-112</f>
        <v>46199</v>
      </c>
      <c r="C842" s="25" t="n">
        <v>20</v>
      </c>
    </row>
    <row r="843" customFormat="false" ht="15" hidden="false" customHeight="false" outlineLevel="0" collapsed="false">
      <c r="A843" s="25" t="s">
        <v>124</v>
      </c>
      <c r="B843" s="26" t="n">
        <f aca="false">PlanDate-111</f>
        <v>46200</v>
      </c>
      <c r="C843" s="25" t="n">
        <v>21</v>
      </c>
    </row>
    <row r="844" customFormat="false" ht="15" hidden="false" customHeight="false" outlineLevel="0" collapsed="false">
      <c r="A844" s="25" t="s">
        <v>124</v>
      </c>
      <c r="B844" s="26" t="n">
        <f aca="false">PlanDate-110</f>
        <v>46201</v>
      </c>
      <c r="C844" s="25" t="n">
        <v>22</v>
      </c>
    </row>
    <row r="845" customFormat="false" ht="15" hidden="false" customHeight="false" outlineLevel="0" collapsed="false">
      <c r="A845" s="25" t="s">
        <v>124</v>
      </c>
      <c r="B845" s="26" t="n">
        <f aca="false">PlanDate-109</f>
        <v>46202</v>
      </c>
      <c r="C845" s="25" t="n">
        <v>19</v>
      </c>
    </row>
    <row r="846" customFormat="false" ht="15" hidden="false" customHeight="false" outlineLevel="0" collapsed="false">
      <c r="A846" s="25" t="s">
        <v>124</v>
      </c>
      <c r="B846" s="26" t="n">
        <f aca="false">PlanDate-108</f>
        <v>46203</v>
      </c>
      <c r="C846" s="25" t="n">
        <v>15</v>
      </c>
    </row>
    <row r="847" customFormat="false" ht="15" hidden="false" customHeight="false" outlineLevel="0" collapsed="false">
      <c r="A847" s="25" t="s">
        <v>124</v>
      </c>
      <c r="B847" s="26" t="n">
        <f aca="false">PlanDate-107</f>
        <v>46204</v>
      </c>
      <c r="C847" s="25" t="n">
        <v>16</v>
      </c>
    </row>
    <row r="848" customFormat="false" ht="15" hidden="false" customHeight="false" outlineLevel="0" collapsed="false">
      <c r="A848" s="25" t="s">
        <v>124</v>
      </c>
      <c r="B848" s="26" t="n">
        <f aca="false">PlanDate-106</f>
        <v>46205</v>
      </c>
      <c r="C848" s="25" t="n">
        <v>21</v>
      </c>
    </row>
    <row r="849" customFormat="false" ht="15" hidden="false" customHeight="false" outlineLevel="0" collapsed="false">
      <c r="A849" s="25" t="s">
        <v>124</v>
      </c>
      <c r="B849" s="26" t="n">
        <f aca="false">PlanDate-105</f>
        <v>46206</v>
      </c>
      <c r="C849" s="25" t="n">
        <v>14</v>
      </c>
    </row>
    <row r="850" customFormat="false" ht="15" hidden="false" customHeight="false" outlineLevel="0" collapsed="false">
      <c r="A850" s="25" t="s">
        <v>124</v>
      </c>
      <c r="B850" s="26" t="n">
        <f aca="false">PlanDate-104</f>
        <v>46207</v>
      </c>
      <c r="C850" s="25" t="n">
        <v>14</v>
      </c>
    </row>
    <row r="851" customFormat="false" ht="15" hidden="false" customHeight="false" outlineLevel="0" collapsed="false">
      <c r="A851" s="25" t="s">
        <v>124</v>
      </c>
      <c r="B851" s="26" t="n">
        <f aca="false">PlanDate-103</f>
        <v>46208</v>
      </c>
      <c r="C851" s="25" t="n">
        <v>23</v>
      </c>
    </row>
    <row r="852" customFormat="false" ht="15" hidden="false" customHeight="false" outlineLevel="0" collapsed="false">
      <c r="A852" s="25" t="s">
        <v>124</v>
      </c>
      <c r="B852" s="26" t="n">
        <f aca="false">PlanDate-102</f>
        <v>46209</v>
      </c>
      <c r="C852" s="25" t="n">
        <v>19</v>
      </c>
    </row>
    <row r="853" customFormat="false" ht="15" hidden="false" customHeight="false" outlineLevel="0" collapsed="false">
      <c r="A853" s="25" t="s">
        <v>124</v>
      </c>
      <c r="B853" s="26" t="n">
        <f aca="false">PlanDate-101</f>
        <v>46210</v>
      </c>
      <c r="C853" s="25" t="n">
        <v>17</v>
      </c>
    </row>
    <row r="854" customFormat="false" ht="15" hidden="false" customHeight="false" outlineLevel="0" collapsed="false">
      <c r="A854" s="25" t="s">
        <v>124</v>
      </c>
      <c r="B854" s="26" t="n">
        <f aca="false">PlanDate-100</f>
        <v>46211</v>
      </c>
      <c r="C854" s="25" t="n">
        <v>19</v>
      </c>
    </row>
    <row r="855" customFormat="false" ht="15" hidden="false" customHeight="false" outlineLevel="0" collapsed="false">
      <c r="A855" s="25" t="s">
        <v>124</v>
      </c>
      <c r="B855" s="26" t="n">
        <f aca="false">PlanDate-99</f>
        <v>46212</v>
      </c>
      <c r="C855" s="25" t="n">
        <v>16</v>
      </c>
    </row>
    <row r="856" customFormat="false" ht="15" hidden="false" customHeight="false" outlineLevel="0" collapsed="false">
      <c r="A856" s="25" t="s">
        <v>124</v>
      </c>
      <c r="B856" s="26" t="n">
        <f aca="false">PlanDate-98</f>
        <v>46213</v>
      </c>
      <c r="C856" s="25" t="n">
        <v>24</v>
      </c>
    </row>
    <row r="857" customFormat="false" ht="15" hidden="false" customHeight="false" outlineLevel="0" collapsed="false">
      <c r="A857" s="25" t="s">
        <v>124</v>
      </c>
      <c r="B857" s="26" t="n">
        <f aca="false">PlanDate-97</f>
        <v>46214</v>
      </c>
      <c r="C857" s="25" t="n">
        <v>17</v>
      </c>
    </row>
    <row r="858" customFormat="false" ht="15" hidden="false" customHeight="false" outlineLevel="0" collapsed="false">
      <c r="A858" s="25" t="s">
        <v>124</v>
      </c>
      <c r="B858" s="26" t="n">
        <f aca="false">PlanDate-95</f>
        <v>46216</v>
      </c>
      <c r="C858" s="25" t="n">
        <v>19</v>
      </c>
    </row>
    <row r="859" customFormat="false" ht="15" hidden="false" customHeight="false" outlineLevel="0" collapsed="false">
      <c r="A859" s="25" t="s">
        <v>124</v>
      </c>
      <c r="B859" s="26" t="n">
        <f aca="false">PlanDate-94</f>
        <v>46217</v>
      </c>
      <c r="C859" s="25" t="n">
        <v>16</v>
      </c>
    </row>
    <row r="860" customFormat="false" ht="15" hidden="false" customHeight="false" outlineLevel="0" collapsed="false">
      <c r="A860" s="25" t="s">
        <v>124</v>
      </c>
      <c r="B860" s="26" t="n">
        <f aca="false">PlanDate-93</f>
        <v>46218</v>
      </c>
      <c r="C860" s="25" t="n">
        <v>15</v>
      </c>
    </row>
    <row r="861" customFormat="false" ht="15" hidden="false" customHeight="false" outlineLevel="0" collapsed="false">
      <c r="A861" s="25" t="s">
        <v>124</v>
      </c>
      <c r="B861" s="26" t="n">
        <f aca="false">PlanDate-92</f>
        <v>46219</v>
      </c>
      <c r="C861" s="25" t="n">
        <v>21</v>
      </c>
    </row>
    <row r="862" customFormat="false" ht="15" hidden="false" customHeight="false" outlineLevel="0" collapsed="false">
      <c r="A862" s="25" t="s">
        <v>124</v>
      </c>
      <c r="B862" s="26" t="n">
        <f aca="false">PlanDate-91</f>
        <v>46220</v>
      </c>
      <c r="C862" s="25" t="n">
        <v>15</v>
      </c>
    </row>
    <row r="863" customFormat="false" ht="15" hidden="false" customHeight="false" outlineLevel="0" collapsed="false">
      <c r="A863" s="25" t="s">
        <v>124</v>
      </c>
      <c r="B863" s="26" t="n">
        <f aca="false">PlanDate-90</f>
        <v>46221</v>
      </c>
      <c r="C863" s="25" t="n">
        <v>18</v>
      </c>
    </row>
    <row r="864" customFormat="false" ht="15" hidden="false" customHeight="false" outlineLevel="0" collapsed="false">
      <c r="A864" s="25" t="s">
        <v>124</v>
      </c>
      <c r="B864" s="26" t="n">
        <f aca="false">PlanDate-89</f>
        <v>46222</v>
      </c>
      <c r="C864" s="25" t="n">
        <v>23</v>
      </c>
    </row>
    <row r="865" customFormat="false" ht="15" hidden="false" customHeight="false" outlineLevel="0" collapsed="false">
      <c r="A865" s="25" t="s">
        <v>124</v>
      </c>
      <c r="B865" s="26" t="n">
        <f aca="false">PlanDate-88</f>
        <v>46223</v>
      </c>
      <c r="C865" s="25" t="n">
        <v>24</v>
      </c>
    </row>
    <row r="866" customFormat="false" ht="15" hidden="false" customHeight="false" outlineLevel="0" collapsed="false">
      <c r="A866" s="25" t="s">
        <v>124</v>
      </c>
      <c r="B866" s="26" t="n">
        <f aca="false">PlanDate-87</f>
        <v>46224</v>
      </c>
      <c r="C866" s="25" t="n">
        <v>17</v>
      </c>
    </row>
    <row r="867" customFormat="false" ht="15" hidden="false" customHeight="false" outlineLevel="0" collapsed="false">
      <c r="A867" s="25" t="s">
        <v>124</v>
      </c>
      <c r="B867" s="26" t="n">
        <f aca="false">PlanDate-86</f>
        <v>46225</v>
      </c>
      <c r="C867" s="25" t="n">
        <v>17</v>
      </c>
    </row>
    <row r="868" customFormat="false" ht="15" hidden="false" customHeight="false" outlineLevel="0" collapsed="false">
      <c r="A868" s="25" t="s">
        <v>124</v>
      </c>
      <c r="B868" s="26" t="n">
        <f aca="false">PlanDate-85</f>
        <v>46226</v>
      </c>
      <c r="C868" s="25" t="n">
        <v>24</v>
      </c>
    </row>
    <row r="869" customFormat="false" ht="15" hidden="false" customHeight="false" outlineLevel="0" collapsed="false">
      <c r="A869" s="25" t="s">
        <v>124</v>
      </c>
      <c r="B869" s="26" t="n">
        <f aca="false">PlanDate-84</f>
        <v>46227</v>
      </c>
      <c r="C869" s="25" t="n">
        <v>15</v>
      </c>
    </row>
    <row r="870" customFormat="false" ht="15" hidden="false" customHeight="false" outlineLevel="0" collapsed="false">
      <c r="A870" s="25" t="s">
        <v>124</v>
      </c>
      <c r="B870" s="26" t="n">
        <f aca="false">PlanDate-83</f>
        <v>46228</v>
      </c>
      <c r="C870" s="25" t="n">
        <v>18</v>
      </c>
    </row>
    <row r="871" customFormat="false" ht="15" hidden="false" customHeight="false" outlineLevel="0" collapsed="false">
      <c r="A871" s="25" t="s">
        <v>124</v>
      </c>
      <c r="B871" s="26" t="n">
        <f aca="false">PlanDate-82</f>
        <v>46229</v>
      </c>
      <c r="C871" s="25" t="n">
        <v>24</v>
      </c>
    </row>
    <row r="872" customFormat="false" ht="15" hidden="false" customHeight="false" outlineLevel="0" collapsed="false">
      <c r="A872" s="25" t="s">
        <v>124</v>
      </c>
      <c r="B872" s="26" t="n">
        <f aca="false">PlanDate-81</f>
        <v>46230</v>
      </c>
      <c r="C872" s="25" t="n">
        <v>17</v>
      </c>
    </row>
    <row r="873" customFormat="false" ht="15" hidden="false" customHeight="false" outlineLevel="0" collapsed="false">
      <c r="A873" s="25" t="s">
        <v>124</v>
      </c>
      <c r="B873" s="26" t="n">
        <f aca="false">PlanDate-80</f>
        <v>46231</v>
      </c>
      <c r="C873" s="25" t="n">
        <v>18</v>
      </c>
    </row>
    <row r="874" customFormat="false" ht="15" hidden="false" customHeight="false" outlineLevel="0" collapsed="false">
      <c r="A874" s="25" t="s">
        <v>124</v>
      </c>
      <c r="B874" s="26" t="n">
        <f aca="false">PlanDate-79</f>
        <v>46232</v>
      </c>
      <c r="C874" s="25" t="n">
        <v>13</v>
      </c>
    </row>
    <row r="875" customFormat="false" ht="15" hidden="false" customHeight="false" outlineLevel="0" collapsed="false">
      <c r="A875" s="25" t="s">
        <v>124</v>
      </c>
      <c r="B875" s="26" t="n">
        <f aca="false">PlanDate-78</f>
        <v>46233</v>
      </c>
      <c r="C875" s="25" t="n">
        <v>22</v>
      </c>
    </row>
    <row r="876" customFormat="false" ht="15" hidden="false" customHeight="false" outlineLevel="0" collapsed="false">
      <c r="A876" s="25" t="s">
        <v>124</v>
      </c>
      <c r="B876" s="26" t="n">
        <f aca="false">PlanDate-77</f>
        <v>46234</v>
      </c>
      <c r="C876" s="25" t="n">
        <v>24</v>
      </c>
    </row>
    <row r="877" customFormat="false" ht="15" hidden="false" customHeight="false" outlineLevel="0" collapsed="false">
      <c r="A877" s="25" t="s">
        <v>124</v>
      </c>
      <c r="B877" s="26" t="n">
        <f aca="false">PlanDate-75</f>
        <v>46236</v>
      </c>
      <c r="C877" s="25" t="n">
        <v>20</v>
      </c>
    </row>
    <row r="878" customFormat="false" ht="15" hidden="false" customHeight="false" outlineLevel="0" collapsed="false">
      <c r="A878" s="25" t="s">
        <v>124</v>
      </c>
      <c r="B878" s="26" t="n">
        <f aca="false">PlanDate-74</f>
        <v>46237</v>
      </c>
      <c r="C878" s="25" t="n">
        <v>23</v>
      </c>
    </row>
    <row r="879" customFormat="false" ht="15" hidden="false" customHeight="false" outlineLevel="0" collapsed="false">
      <c r="A879" s="25" t="s">
        <v>124</v>
      </c>
      <c r="B879" s="26" t="n">
        <f aca="false">PlanDate-73</f>
        <v>46238</v>
      </c>
      <c r="C879" s="25" t="n">
        <v>18</v>
      </c>
    </row>
    <row r="880" customFormat="false" ht="15" hidden="false" customHeight="false" outlineLevel="0" collapsed="false">
      <c r="A880" s="25" t="s">
        <v>124</v>
      </c>
      <c r="B880" s="26" t="n">
        <f aca="false">PlanDate-72</f>
        <v>46239</v>
      </c>
      <c r="C880" s="25" t="n">
        <v>18</v>
      </c>
    </row>
    <row r="881" customFormat="false" ht="15" hidden="false" customHeight="false" outlineLevel="0" collapsed="false">
      <c r="A881" s="25" t="s">
        <v>124</v>
      </c>
      <c r="B881" s="26" t="n">
        <f aca="false">PlanDate-71</f>
        <v>46240</v>
      </c>
      <c r="C881" s="25" t="n">
        <v>21</v>
      </c>
    </row>
    <row r="882" customFormat="false" ht="15" hidden="false" customHeight="false" outlineLevel="0" collapsed="false">
      <c r="A882" s="25" t="s">
        <v>124</v>
      </c>
      <c r="B882" s="26" t="n">
        <f aca="false">PlanDate-70</f>
        <v>46241</v>
      </c>
      <c r="C882" s="25" t="n">
        <v>16</v>
      </c>
    </row>
    <row r="883" customFormat="false" ht="15" hidden="false" customHeight="false" outlineLevel="0" collapsed="false">
      <c r="A883" s="25" t="s">
        <v>124</v>
      </c>
      <c r="B883" s="26" t="n">
        <f aca="false">PlanDate-69</f>
        <v>46242</v>
      </c>
      <c r="C883" s="25" t="n">
        <v>24</v>
      </c>
    </row>
    <row r="884" customFormat="false" ht="15" hidden="false" customHeight="false" outlineLevel="0" collapsed="false">
      <c r="A884" s="25" t="s">
        <v>124</v>
      </c>
      <c r="B884" s="26" t="n">
        <f aca="false">PlanDate-68</f>
        <v>46243</v>
      </c>
      <c r="C884" s="25" t="n">
        <v>19</v>
      </c>
    </row>
    <row r="885" customFormat="false" ht="15" hidden="false" customHeight="false" outlineLevel="0" collapsed="false">
      <c r="A885" s="25" t="s">
        <v>124</v>
      </c>
      <c r="B885" s="26" t="n">
        <f aca="false">PlanDate-67</f>
        <v>46244</v>
      </c>
      <c r="C885" s="25" t="n">
        <v>21</v>
      </c>
    </row>
    <row r="886" customFormat="false" ht="15" hidden="false" customHeight="false" outlineLevel="0" collapsed="false">
      <c r="A886" s="25" t="s">
        <v>124</v>
      </c>
      <c r="B886" s="26" t="n">
        <f aca="false">PlanDate-66</f>
        <v>46245</v>
      </c>
      <c r="C886" s="25" t="n">
        <v>16</v>
      </c>
    </row>
    <row r="887" customFormat="false" ht="15" hidden="false" customHeight="false" outlineLevel="0" collapsed="false">
      <c r="A887" s="25" t="s">
        <v>124</v>
      </c>
      <c r="B887" s="26" t="n">
        <f aca="false">PlanDate-65</f>
        <v>46246</v>
      </c>
      <c r="C887" s="25" t="n">
        <v>23</v>
      </c>
    </row>
    <row r="888" customFormat="false" ht="15" hidden="false" customHeight="false" outlineLevel="0" collapsed="false">
      <c r="A888" s="25" t="s">
        <v>124</v>
      </c>
      <c r="B888" s="26" t="n">
        <f aca="false">PlanDate-64</f>
        <v>46247</v>
      </c>
      <c r="C888" s="25" t="n">
        <v>16</v>
      </c>
    </row>
    <row r="889" customFormat="false" ht="15" hidden="false" customHeight="false" outlineLevel="0" collapsed="false">
      <c r="A889" s="25" t="s">
        <v>124</v>
      </c>
      <c r="B889" s="26" t="n">
        <f aca="false">PlanDate-63</f>
        <v>46248</v>
      </c>
      <c r="C889" s="25" t="n">
        <v>24</v>
      </c>
    </row>
    <row r="890" customFormat="false" ht="15" hidden="false" customHeight="false" outlineLevel="0" collapsed="false">
      <c r="A890" s="25" t="s">
        <v>124</v>
      </c>
      <c r="B890" s="26" t="n">
        <f aca="false">PlanDate-62</f>
        <v>46249</v>
      </c>
      <c r="C890" s="25" t="n">
        <v>19</v>
      </c>
    </row>
    <row r="891" customFormat="false" ht="15" hidden="false" customHeight="false" outlineLevel="0" collapsed="false">
      <c r="A891" s="25" t="s">
        <v>124</v>
      </c>
      <c r="B891" s="26" t="n">
        <f aca="false">PlanDate-61</f>
        <v>46250</v>
      </c>
      <c r="C891" s="25" t="n">
        <v>21</v>
      </c>
    </row>
    <row r="892" customFormat="false" ht="15" hidden="false" customHeight="false" outlineLevel="0" collapsed="false">
      <c r="A892" s="25" t="s">
        <v>124</v>
      </c>
      <c r="B892" s="26" t="n">
        <f aca="false">PlanDate-60</f>
        <v>46251</v>
      </c>
      <c r="C892" s="25" t="n">
        <v>21</v>
      </c>
    </row>
    <row r="893" customFormat="false" ht="15" hidden="false" customHeight="false" outlineLevel="0" collapsed="false">
      <c r="A893" s="25" t="s">
        <v>124</v>
      </c>
      <c r="B893" s="26" t="n">
        <f aca="false">PlanDate-59</f>
        <v>46252</v>
      </c>
      <c r="C893" s="25" t="n">
        <v>20</v>
      </c>
    </row>
    <row r="894" customFormat="false" ht="15" hidden="false" customHeight="false" outlineLevel="0" collapsed="false">
      <c r="A894" s="25" t="s">
        <v>124</v>
      </c>
      <c r="B894" s="26" t="n">
        <f aca="false">PlanDate-58</f>
        <v>46253</v>
      </c>
      <c r="C894" s="25" t="n">
        <v>20</v>
      </c>
    </row>
    <row r="895" customFormat="false" ht="15" hidden="false" customHeight="false" outlineLevel="0" collapsed="false">
      <c r="A895" s="25" t="s">
        <v>124</v>
      </c>
      <c r="B895" s="26" t="n">
        <f aca="false">PlanDate-57</f>
        <v>46254</v>
      </c>
      <c r="C895" s="25" t="n">
        <v>24</v>
      </c>
    </row>
    <row r="896" customFormat="false" ht="15" hidden="false" customHeight="false" outlineLevel="0" collapsed="false">
      <c r="A896" s="25" t="s">
        <v>124</v>
      </c>
      <c r="B896" s="26" t="n">
        <f aca="false">PlanDate-56</f>
        <v>46255</v>
      </c>
      <c r="C896" s="25" t="n">
        <v>15</v>
      </c>
    </row>
    <row r="897" customFormat="false" ht="15" hidden="false" customHeight="false" outlineLevel="0" collapsed="false">
      <c r="A897" s="25" t="s">
        <v>124</v>
      </c>
      <c r="B897" s="26" t="n">
        <f aca="false">PlanDate-55</f>
        <v>46256</v>
      </c>
      <c r="C897" s="25" t="n">
        <v>22</v>
      </c>
    </row>
    <row r="898" customFormat="false" ht="15" hidden="false" customHeight="false" outlineLevel="0" collapsed="false">
      <c r="A898" s="25" t="s">
        <v>124</v>
      </c>
      <c r="B898" s="26" t="n">
        <f aca="false">PlanDate-54</f>
        <v>46257</v>
      </c>
      <c r="C898" s="25" t="n">
        <v>14</v>
      </c>
    </row>
    <row r="899" customFormat="false" ht="15" hidden="false" customHeight="false" outlineLevel="0" collapsed="false">
      <c r="A899" s="25" t="s">
        <v>124</v>
      </c>
      <c r="B899" s="26" t="n">
        <f aca="false">PlanDate-53</f>
        <v>46258</v>
      </c>
      <c r="C899" s="25" t="n">
        <v>15</v>
      </c>
    </row>
    <row r="900" customFormat="false" ht="15" hidden="false" customHeight="false" outlineLevel="0" collapsed="false">
      <c r="A900" s="25" t="s">
        <v>124</v>
      </c>
      <c r="B900" s="26" t="n">
        <f aca="false">PlanDate-52</f>
        <v>46259</v>
      </c>
      <c r="C900" s="25" t="n">
        <v>20</v>
      </c>
    </row>
    <row r="901" customFormat="false" ht="15" hidden="false" customHeight="false" outlineLevel="0" collapsed="false">
      <c r="A901" s="25" t="s">
        <v>124</v>
      </c>
      <c r="B901" s="26" t="n">
        <f aca="false">PlanDate-51</f>
        <v>46260</v>
      </c>
      <c r="C901" s="25" t="n">
        <v>19</v>
      </c>
    </row>
    <row r="902" customFormat="false" ht="15" hidden="false" customHeight="false" outlineLevel="0" collapsed="false">
      <c r="A902" s="25" t="s">
        <v>124</v>
      </c>
      <c r="B902" s="26" t="n">
        <f aca="false">PlanDate-50</f>
        <v>46261</v>
      </c>
      <c r="C902" s="25" t="n">
        <v>21</v>
      </c>
    </row>
    <row r="903" customFormat="false" ht="15" hidden="false" customHeight="false" outlineLevel="0" collapsed="false">
      <c r="A903" s="25" t="s">
        <v>124</v>
      </c>
      <c r="B903" s="26" t="n">
        <f aca="false">PlanDate-49</f>
        <v>46262</v>
      </c>
      <c r="C903" s="25" t="n">
        <v>17</v>
      </c>
    </row>
    <row r="904" customFormat="false" ht="15" hidden="false" customHeight="false" outlineLevel="0" collapsed="false">
      <c r="A904" s="25" t="s">
        <v>124</v>
      </c>
      <c r="B904" s="26" t="n">
        <f aca="false">PlanDate-48</f>
        <v>46263</v>
      </c>
      <c r="C904" s="25" t="n">
        <v>19</v>
      </c>
    </row>
    <row r="905" customFormat="false" ht="15" hidden="false" customHeight="false" outlineLevel="0" collapsed="false">
      <c r="A905" s="25" t="s">
        <v>124</v>
      </c>
      <c r="B905" s="26" t="n">
        <f aca="false">PlanDate-47</f>
        <v>46264</v>
      </c>
      <c r="C905" s="25" t="n">
        <v>20</v>
      </c>
    </row>
    <row r="906" customFormat="false" ht="15" hidden="false" customHeight="false" outlineLevel="0" collapsed="false">
      <c r="A906" s="25" t="s">
        <v>124</v>
      </c>
      <c r="B906" s="26" t="n">
        <f aca="false">PlanDate-46</f>
        <v>46265</v>
      </c>
      <c r="C906" s="25" t="n">
        <v>21</v>
      </c>
    </row>
    <row r="907" customFormat="false" ht="15" hidden="false" customHeight="false" outlineLevel="0" collapsed="false">
      <c r="A907" s="25" t="s">
        <v>124</v>
      </c>
      <c r="B907" s="26" t="n">
        <f aca="false">PlanDate-45</f>
        <v>46266</v>
      </c>
      <c r="C907" s="25" t="n">
        <v>14</v>
      </c>
    </row>
    <row r="908" customFormat="false" ht="15" hidden="false" customHeight="false" outlineLevel="0" collapsed="false">
      <c r="A908" s="25" t="s">
        <v>124</v>
      </c>
      <c r="B908" s="26" t="n">
        <f aca="false">PlanDate-44</f>
        <v>46267</v>
      </c>
      <c r="C908" s="25" t="n">
        <v>21</v>
      </c>
    </row>
    <row r="909" customFormat="false" ht="15" hidden="false" customHeight="false" outlineLevel="0" collapsed="false">
      <c r="A909" s="25" t="s">
        <v>124</v>
      </c>
      <c r="B909" s="26" t="n">
        <f aca="false">PlanDate-43</f>
        <v>46268</v>
      </c>
      <c r="C909" s="25" t="n">
        <v>19</v>
      </c>
    </row>
    <row r="910" customFormat="false" ht="15" hidden="false" customHeight="false" outlineLevel="0" collapsed="false">
      <c r="A910" s="25" t="s">
        <v>124</v>
      </c>
      <c r="B910" s="26" t="n">
        <f aca="false">PlanDate-42</f>
        <v>46269</v>
      </c>
      <c r="C910" s="25" t="n">
        <v>15</v>
      </c>
    </row>
    <row r="911" customFormat="false" ht="15" hidden="false" customHeight="false" outlineLevel="0" collapsed="false">
      <c r="A911" s="25" t="s">
        <v>124</v>
      </c>
      <c r="B911" s="26" t="n">
        <f aca="false">PlanDate-41</f>
        <v>46270</v>
      </c>
      <c r="C911" s="25" t="n">
        <v>15</v>
      </c>
    </row>
    <row r="912" customFormat="false" ht="15" hidden="false" customHeight="false" outlineLevel="0" collapsed="false">
      <c r="A912" s="25" t="s">
        <v>124</v>
      </c>
      <c r="B912" s="26" t="n">
        <f aca="false">PlanDate-40</f>
        <v>46271</v>
      </c>
      <c r="C912" s="25" t="n">
        <v>22</v>
      </c>
    </row>
    <row r="913" customFormat="false" ht="15" hidden="false" customHeight="false" outlineLevel="0" collapsed="false">
      <c r="A913" s="25" t="s">
        <v>124</v>
      </c>
      <c r="B913" s="26" t="n">
        <f aca="false">PlanDate-39</f>
        <v>46272</v>
      </c>
      <c r="C913" s="25" t="n">
        <v>25</v>
      </c>
    </row>
    <row r="914" customFormat="false" ht="15" hidden="false" customHeight="false" outlineLevel="0" collapsed="false">
      <c r="A914" s="25" t="s">
        <v>124</v>
      </c>
      <c r="B914" s="26" t="n">
        <f aca="false">PlanDate-38</f>
        <v>46273</v>
      </c>
      <c r="C914" s="25" t="n">
        <v>18</v>
      </c>
    </row>
    <row r="915" customFormat="false" ht="15" hidden="false" customHeight="false" outlineLevel="0" collapsed="false">
      <c r="A915" s="25" t="s">
        <v>124</v>
      </c>
      <c r="B915" s="26" t="n">
        <f aca="false">PlanDate-37</f>
        <v>46274</v>
      </c>
      <c r="C915" s="25" t="n">
        <v>22</v>
      </c>
    </row>
    <row r="916" customFormat="false" ht="15" hidden="false" customHeight="false" outlineLevel="0" collapsed="false">
      <c r="A916" s="25" t="s">
        <v>124</v>
      </c>
      <c r="B916" s="26" t="n">
        <f aca="false">PlanDate-36</f>
        <v>46275</v>
      </c>
      <c r="C916" s="25" t="n">
        <v>14</v>
      </c>
    </row>
    <row r="917" customFormat="false" ht="15" hidden="false" customHeight="false" outlineLevel="0" collapsed="false">
      <c r="A917" s="25" t="s">
        <v>124</v>
      </c>
      <c r="B917" s="26" t="n">
        <f aca="false">PlanDate-35</f>
        <v>46276</v>
      </c>
      <c r="C917" s="25" t="n">
        <v>18</v>
      </c>
    </row>
    <row r="918" customFormat="false" ht="15" hidden="false" customHeight="false" outlineLevel="0" collapsed="false">
      <c r="A918" s="25" t="s">
        <v>124</v>
      </c>
      <c r="B918" s="26" t="n">
        <f aca="false">PlanDate-34</f>
        <v>46277</v>
      </c>
      <c r="C918" s="25" t="n">
        <v>16</v>
      </c>
    </row>
    <row r="919" customFormat="false" ht="15" hidden="false" customHeight="false" outlineLevel="0" collapsed="false">
      <c r="A919" s="25" t="s">
        <v>124</v>
      </c>
      <c r="B919" s="26" t="n">
        <f aca="false">PlanDate-33</f>
        <v>46278</v>
      </c>
      <c r="C919" s="25" t="n">
        <v>17</v>
      </c>
    </row>
    <row r="920" customFormat="false" ht="15" hidden="false" customHeight="false" outlineLevel="0" collapsed="false">
      <c r="A920" s="25" t="s">
        <v>124</v>
      </c>
      <c r="B920" s="26" t="n">
        <f aca="false">PlanDate-32</f>
        <v>46279</v>
      </c>
      <c r="C920" s="25" t="n">
        <v>21</v>
      </c>
    </row>
    <row r="921" customFormat="false" ht="15" hidden="false" customHeight="false" outlineLevel="0" collapsed="false">
      <c r="A921" s="25" t="s">
        <v>124</v>
      </c>
      <c r="B921" s="26" t="n">
        <f aca="false">PlanDate-31</f>
        <v>46280</v>
      </c>
      <c r="C921" s="25" t="n">
        <v>20</v>
      </c>
    </row>
    <row r="922" customFormat="false" ht="15" hidden="false" customHeight="false" outlineLevel="0" collapsed="false">
      <c r="A922" s="25" t="s">
        <v>124</v>
      </c>
      <c r="B922" s="26" t="n">
        <f aca="false">PlanDate-30</f>
        <v>46281</v>
      </c>
      <c r="C922" s="25" t="n">
        <v>20</v>
      </c>
    </row>
    <row r="923" customFormat="false" ht="15" hidden="false" customHeight="false" outlineLevel="0" collapsed="false">
      <c r="A923" s="25" t="s">
        <v>124</v>
      </c>
      <c r="B923" s="26" t="n">
        <f aca="false">PlanDate-29</f>
        <v>46282</v>
      </c>
      <c r="C923" s="25" t="n">
        <v>20</v>
      </c>
    </row>
    <row r="924" customFormat="false" ht="15" hidden="false" customHeight="false" outlineLevel="0" collapsed="false">
      <c r="A924" s="25" t="s">
        <v>124</v>
      </c>
      <c r="B924" s="26" t="n">
        <f aca="false">PlanDate-28</f>
        <v>46283</v>
      </c>
      <c r="C924" s="25" t="n">
        <v>16</v>
      </c>
    </row>
    <row r="925" customFormat="false" ht="15" hidden="false" customHeight="false" outlineLevel="0" collapsed="false">
      <c r="A925" s="25" t="s">
        <v>124</v>
      </c>
      <c r="B925" s="26" t="n">
        <f aca="false">PlanDate-27</f>
        <v>46284</v>
      </c>
      <c r="C925" s="25" t="n">
        <v>14</v>
      </c>
    </row>
    <row r="926" customFormat="false" ht="15" hidden="false" customHeight="false" outlineLevel="0" collapsed="false">
      <c r="A926" s="25" t="s">
        <v>124</v>
      </c>
      <c r="B926" s="26" t="n">
        <f aca="false">PlanDate-26</f>
        <v>46285</v>
      </c>
      <c r="C926" s="25" t="n">
        <v>14</v>
      </c>
    </row>
    <row r="927" customFormat="false" ht="15" hidden="false" customHeight="false" outlineLevel="0" collapsed="false">
      <c r="A927" s="25" t="s">
        <v>124</v>
      </c>
      <c r="B927" s="26" t="n">
        <f aca="false">PlanDate-25</f>
        <v>46286</v>
      </c>
      <c r="C927" s="25" t="n">
        <v>14</v>
      </c>
    </row>
    <row r="928" customFormat="false" ht="15" hidden="false" customHeight="false" outlineLevel="0" collapsed="false">
      <c r="A928" s="25" t="s">
        <v>124</v>
      </c>
      <c r="B928" s="26" t="n">
        <f aca="false">PlanDate-24</f>
        <v>46287</v>
      </c>
      <c r="C928" s="25" t="n">
        <v>22</v>
      </c>
    </row>
    <row r="929" customFormat="false" ht="15" hidden="false" customHeight="false" outlineLevel="0" collapsed="false">
      <c r="A929" s="25" t="s">
        <v>124</v>
      </c>
      <c r="B929" s="26" t="n">
        <f aca="false">PlanDate-23</f>
        <v>46288</v>
      </c>
      <c r="C929" s="25" t="n">
        <v>15</v>
      </c>
    </row>
    <row r="930" customFormat="false" ht="15" hidden="false" customHeight="false" outlineLevel="0" collapsed="false">
      <c r="A930" s="25" t="s">
        <v>124</v>
      </c>
      <c r="B930" s="26" t="n">
        <f aca="false">PlanDate-22</f>
        <v>46289</v>
      </c>
      <c r="C930" s="25" t="n">
        <v>21</v>
      </c>
    </row>
    <row r="931" customFormat="false" ht="15" hidden="false" customHeight="false" outlineLevel="0" collapsed="false">
      <c r="A931" s="25" t="s">
        <v>124</v>
      </c>
      <c r="B931" s="26" t="n">
        <f aca="false">PlanDate-21</f>
        <v>46290</v>
      </c>
      <c r="C931" s="25" t="n">
        <v>21</v>
      </c>
    </row>
    <row r="932" customFormat="false" ht="15" hidden="false" customHeight="false" outlineLevel="0" collapsed="false">
      <c r="A932" s="25" t="s">
        <v>124</v>
      </c>
      <c r="B932" s="26" t="n">
        <f aca="false">PlanDate-20</f>
        <v>46291</v>
      </c>
      <c r="C932" s="25" t="n">
        <v>19</v>
      </c>
    </row>
    <row r="933" customFormat="false" ht="15" hidden="false" customHeight="false" outlineLevel="0" collapsed="false">
      <c r="A933" s="25" t="s">
        <v>124</v>
      </c>
      <c r="B933" s="26" t="n">
        <f aca="false">PlanDate-19</f>
        <v>46292</v>
      </c>
      <c r="C933" s="25" t="n">
        <v>15</v>
      </c>
    </row>
    <row r="934" customFormat="false" ht="15" hidden="false" customHeight="false" outlineLevel="0" collapsed="false">
      <c r="A934" s="25" t="s">
        <v>124</v>
      </c>
      <c r="B934" s="26" t="n">
        <f aca="false">PlanDate-18</f>
        <v>46293</v>
      </c>
      <c r="C934" s="25" t="n">
        <v>16</v>
      </c>
    </row>
    <row r="935" customFormat="false" ht="15" hidden="false" customHeight="false" outlineLevel="0" collapsed="false">
      <c r="A935" s="25" t="s">
        <v>124</v>
      </c>
      <c r="B935" s="26" t="n">
        <f aca="false">PlanDate-17</f>
        <v>46294</v>
      </c>
      <c r="C935" s="25" t="n">
        <v>21</v>
      </c>
    </row>
    <row r="936" customFormat="false" ht="15" hidden="false" customHeight="false" outlineLevel="0" collapsed="false">
      <c r="A936" s="25" t="s">
        <v>124</v>
      </c>
      <c r="B936" s="26" t="n">
        <f aca="false">PlanDate-16</f>
        <v>46295</v>
      </c>
      <c r="C936" s="25" t="n">
        <v>14</v>
      </c>
    </row>
    <row r="937" customFormat="false" ht="15" hidden="false" customHeight="false" outlineLevel="0" collapsed="false">
      <c r="A937" s="25" t="s">
        <v>124</v>
      </c>
      <c r="B937" s="26" t="n">
        <f aca="false">PlanDate-15</f>
        <v>46296</v>
      </c>
      <c r="C937" s="25" t="n">
        <v>23</v>
      </c>
    </row>
    <row r="938" customFormat="false" ht="15" hidden="false" customHeight="false" outlineLevel="0" collapsed="false">
      <c r="A938" s="25" t="s">
        <v>124</v>
      </c>
      <c r="B938" s="26" t="n">
        <f aca="false">PlanDate-14</f>
        <v>46297</v>
      </c>
      <c r="C938" s="25" t="n">
        <v>19</v>
      </c>
    </row>
    <row r="939" customFormat="false" ht="15" hidden="false" customHeight="false" outlineLevel="0" collapsed="false">
      <c r="A939" s="25" t="s">
        <v>124</v>
      </c>
      <c r="B939" s="26" t="n">
        <f aca="false">PlanDate-13</f>
        <v>46298</v>
      </c>
      <c r="C939" s="25" t="n">
        <v>17</v>
      </c>
    </row>
    <row r="940" customFormat="false" ht="15" hidden="false" customHeight="false" outlineLevel="0" collapsed="false">
      <c r="A940" s="25" t="s">
        <v>124</v>
      </c>
      <c r="B940" s="26" t="n">
        <f aca="false">PlanDate-12</f>
        <v>46299</v>
      </c>
      <c r="C940" s="25" t="n">
        <v>14</v>
      </c>
    </row>
    <row r="941" customFormat="false" ht="15" hidden="false" customHeight="false" outlineLevel="0" collapsed="false">
      <c r="A941" s="25" t="s">
        <v>124</v>
      </c>
      <c r="B941" s="26" t="n">
        <f aca="false">PlanDate-11</f>
        <v>46300</v>
      </c>
      <c r="C941" s="25" t="n">
        <v>20</v>
      </c>
    </row>
    <row r="942" customFormat="false" ht="15" hidden="false" customHeight="false" outlineLevel="0" collapsed="false">
      <c r="A942" s="25" t="s">
        <v>124</v>
      </c>
      <c r="B942" s="26" t="n">
        <f aca="false">PlanDate-10</f>
        <v>46301</v>
      </c>
      <c r="C942" s="25" t="n">
        <v>21</v>
      </c>
    </row>
    <row r="943" customFormat="false" ht="15" hidden="false" customHeight="false" outlineLevel="0" collapsed="false">
      <c r="A943" s="25" t="s">
        <v>124</v>
      </c>
      <c r="B943" s="26" t="n">
        <f aca="false">PlanDate-9</f>
        <v>46302</v>
      </c>
      <c r="C943" s="25" t="n">
        <v>24</v>
      </c>
    </row>
    <row r="944" customFormat="false" ht="15" hidden="false" customHeight="false" outlineLevel="0" collapsed="false">
      <c r="A944" s="25" t="s">
        <v>124</v>
      </c>
      <c r="B944" s="26" t="n">
        <f aca="false">PlanDate-8</f>
        <v>46303</v>
      </c>
      <c r="C944" s="25" t="n">
        <v>21</v>
      </c>
    </row>
    <row r="945" customFormat="false" ht="15" hidden="false" customHeight="false" outlineLevel="0" collapsed="false">
      <c r="A945" s="25" t="s">
        <v>124</v>
      </c>
      <c r="B945" s="26" t="n">
        <f aca="false">PlanDate-7</f>
        <v>46304</v>
      </c>
      <c r="C945" s="25" t="n">
        <v>24</v>
      </c>
    </row>
    <row r="946" customFormat="false" ht="15" hidden="false" customHeight="false" outlineLevel="0" collapsed="false">
      <c r="A946" s="25" t="s">
        <v>124</v>
      </c>
      <c r="B946" s="26" t="n">
        <f aca="false">PlanDate-5</f>
        <v>46306</v>
      </c>
      <c r="C946" s="25" t="n">
        <v>24</v>
      </c>
    </row>
    <row r="947" customFormat="false" ht="15" hidden="false" customHeight="false" outlineLevel="0" collapsed="false">
      <c r="A947" s="25" t="s">
        <v>124</v>
      </c>
      <c r="B947" s="26" t="n">
        <f aca="false">PlanDate-4</f>
        <v>46307</v>
      </c>
      <c r="C947" s="25" t="n">
        <v>24</v>
      </c>
    </row>
    <row r="948" customFormat="false" ht="15" hidden="false" customHeight="false" outlineLevel="0" collapsed="false">
      <c r="A948" s="25" t="s">
        <v>124</v>
      </c>
      <c r="B948" s="26" t="n">
        <f aca="false">PlanDate-3</f>
        <v>46308</v>
      </c>
      <c r="C948" s="25" t="n">
        <v>21</v>
      </c>
    </row>
    <row r="949" customFormat="false" ht="15" hidden="false" customHeight="false" outlineLevel="0" collapsed="false">
      <c r="A949" s="25" t="s">
        <v>124</v>
      </c>
      <c r="B949" s="26" t="n">
        <f aca="false">PlanDate-2</f>
        <v>46309</v>
      </c>
      <c r="C949" s="25" t="n">
        <v>20</v>
      </c>
    </row>
    <row r="950" customFormat="false" ht="15" hidden="false" customHeight="false" outlineLevel="0" collapsed="false">
      <c r="A950" s="25" t="s">
        <v>124</v>
      </c>
      <c r="B950" s="26" t="n">
        <f aca="false">PlanDate-1</f>
        <v>46310</v>
      </c>
      <c r="C950" s="25" t="n">
        <v>23</v>
      </c>
    </row>
    <row r="951" customFormat="false" ht="15" hidden="false" customHeight="false" outlineLevel="0" collapsed="false">
      <c r="A951" s="25" t="s">
        <v>126</v>
      </c>
      <c r="B951" s="26" t="n">
        <f aca="false">PlanDate-120</f>
        <v>46191</v>
      </c>
      <c r="C951" s="25" t="n">
        <v>5</v>
      </c>
    </row>
    <row r="952" customFormat="false" ht="15" hidden="false" customHeight="false" outlineLevel="0" collapsed="false">
      <c r="A952" s="25" t="s">
        <v>126</v>
      </c>
      <c r="B952" s="26" t="n">
        <f aca="false">PlanDate-116</f>
        <v>46195</v>
      </c>
      <c r="C952" s="25" t="n">
        <v>2</v>
      </c>
    </row>
    <row r="953" customFormat="false" ht="15" hidden="false" customHeight="false" outlineLevel="0" collapsed="false">
      <c r="A953" s="25" t="s">
        <v>126</v>
      </c>
      <c r="B953" s="26" t="n">
        <f aca="false">PlanDate-115</f>
        <v>46196</v>
      </c>
      <c r="C953" s="25" t="n">
        <v>4</v>
      </c>
    </row>
    <row r="954" customFormat="false" ht="15" hidden="false" customHeight="false" outlineLevel="0" collapsed="false">
      <c r="A954" s="25" t="s">
        <v>126</v>
      </c>
      <c r="B954" s="26" t="n">
        <f aca="false">PlanDate-114</f>
        <v>46197</v>
      </c>
      <c r="C954" s="25" t="n">
        <v>5</v>
      </c>
    </row>
    <row r="955" customFormat="false" ht="15" hidden="false" customHeight="false" outlineLevel="0" collapsed="false">
      <c r="A955" s="25" t="s">
        <v>126</v>
      </c>
      <c r="B955" s="26" t="n">
        <f aca="false">PlanDate-113</f>
        <v>46198</v>
      </c>
      <c r="C955" s="25" t="n">
        <v>3</v>
      </c>
    </row>
    <row r="956" customFormat="false" ht="15" hidden="false" customHeight="false" outlineLevel="0" collapsed="false">
      <c r="A956" s="25" t="s">
        <v>126</v>
      </c>
      <c r="B956" s="26" t="n">
        <f aca="false">PlanDate-112</f>
        <v>46199</v>
      </c>
      <c r="C956" s="25" t="n">
        <v>3</v>
      </c>
    </row>
    <row r="957" customFormat="false" ht="15" hidden="false" customHeight="false" outlineLevel="0" collapsed="false">
      <c r="A957" s="25" t="s">
        <v>126</v>
      </c>
      <c r="B957" s="26" t="n">
        <f aca="false">PlanDate-111</f>
        <v>46200</v>
      </c>
      <c r="C957" s="25" t="n">
        <v>2</v>
      </c>
    </row>
    <row r="958" customFormat="false" ht="15" hidden="false" customHeight="false" outlineLevel="0" collapsed="false">
      <c r="A958" s="25" t="s">
        <v>126</v>
      </c>
      <c r="B958" s="26" t="n">
        <f aca="false">PlanDate-110</f>
        <v>46201</v>
      </c>
      <c r="C958" s="25" t="n">
        <v>3</v>
      </c>
    </row>
    <row r="959" customFormat="false" ht="15" hidden="false" customHeight="false" outlineLevel="0" collapsed="false">
      <c r="A959" s="25" t="s">
        <v>126</v>
      </c>
      <c r="B959" s="26" t="n">
        <f aca="false">PlanDate-109</f>
        <v>46202</v>
      </c>
      <c r="C959" s="25" t="n">
        <v>4</v>
      </c>
    </row>
    <row r="960" customFormat="false" ht="15" hidden="false" customHeight="false" outlineLevel="0" collapsed="false">
      <c r="A960" s="25" t="s">
        <v>126</v>
      </c>
      <c r="B960" s="26" t="n">
        <f aca="false">PlanDate-106</f>
        <v>46205</v>
      </c>
      <c r="C960" s="25" t="n">
        <v>3</v>
      </c>
    </row>
    <row r="961" customFormat="false" ht="15" hidden="false" customHeight="false" outlineLevel="0" collapsed="false">
      <c r="A961" s="25" t="s">
        <v>126</v>
      </c>
      <c r="B961" s="26" t="n">
        <f aca="false">PlanDate-103</f>
        <v>46208</v>
      </c>
      <c r="C961" s="25" t="n">
        <v>2</v>
      </c>
    </row>
    <row r="962" customFormat="false" ht="15" hidden="false" customHeight="false" outlineLevel="0" collapsed="false">
      <c r="A962" s="25" t="s">
        <v>126</v>
      </c>
      <c r="B962" s="26" t="n">
        <f aca="false">PlanDate-100</f>
        <v>46211</v>
      </c>
      <c r="C962" s="25" t="n">
        <v>3</v>
      </c>
    </row>
    <row r="963" customFormat="false" ht="15" hidden="false" customHeight="false" outlineLevel="0" collapsed="false">
      <c r="A963" s="25" t="s">
        <v>126</v>
      </c>
      <c r="B963" s="26" t="n">
        <f aca="false">PlanDate-98</f>
        <v>46213</v>
      </c>
      <c r="C963" s="25" t="n">
        <v>5</v>
      </c>
    </row>
    <row r="964" customFormat="false" ht="15" hidden="false" customHeight="false" outlineLevel="0" collapsed="false">
      <c r="A964" s="25" t="s">
        <v>126</v>
      </c>
      <c r="B964" s="26" t="n">
        <f aca="false">PlanDate-96</f>
        <v>46215</v>
      </c>
      <c r="C964" s="25" t="n">
        <v>5</v>
      </c>
    </row>
    <row r="965" customFormat="false" ht="15" hidden="false" customHeight="false" outlineLevel="0" collapsed="false">
      <c r="A965" s="25" t="s">
        <v>126</v>
      </c>
      <c r="B965" s="26" t="n">
        <f aca="false">PlanDate-94</f>
        <v>46217</v>
      </c>
      <c r="C965" s="25" t="n">
        <v>3</v>
      </c>
    </row>
    <row r="966" customFormat="false" ht="15" hidden="false" customHeight="false" outlineLevel="0" collapsed="false">
      <c r="A966" s="25" t="s">
        <v>126</v>
      </c>
      <c r="B966" s="26" t="n">
        <f aca="false">PlanDate-93</f>
        <v>46218</v>
      </c>
      <c r="C966" s="25" t="n">
        <v>4</v>
      </c>
    </row>
    <row r="967" customFormat="false" ht="15" hidden="false" customHeight="false" outlineLevel="0" collapsed="false">
      <c r="A967" s="25" t="s">
        <v>126</v>
      </c>
      <c r="B967" s="26" t="n">
        <f aca="false">PlanDate-92</f>
        <v>46219</v>
      </c>
      <c r="C967" s="25" t="n">
        <v>3</v>
      </c>
    </row>
    <row r="968" customFormat="false" ht="15" hidden="false" customHeight="false" outlineLevel="0" collapsed="false">
      <c r="A968" s="25" t="s">
        <v>126</v>
      </c>
      <c r="B968" s="26" t="n">
        <f aca="false">PlanDate-91</f>
        <v>46220</v>
      </c>
      <c r="C968" s="25" t="n">
        <v>2</v>
      </c>
    </row>
    <row r="969" customFormat="false" ht="15" hidden="false" customHeight="false" outlineLevel="0" collapsed="false">
      <c r="A969" s="25" t="s">
        <v>126</v>
      </c>
      <c r="B969" s="26" t="n">
        <f aca="false">PlanDate-89</f>
        <v>46222</v>
      </c>
      <c r="C969" s="25" t="n">
        <v>5</v>
      </c>
    </row>
    <row r="970" customFormat="false" ht="15" hidden="false" customHeight="false" outlineLevel="0" collapsed="false">
      <c r="A970" s="25" t="s">
        <v>126</v>
      </c>
      <c r="B970" s="26" t="n">
        <f aca="false">PlanDate-88</f>
        <v>46223</v>
      </c>
      <c r="C970" s="25" t="n">
        <v>4</v>
      </c>
    </row>
    <row r="971" customFormat="false" ht="15" hidden="false" customHeight="false" outlineLevel="0" collapsed="false">
      <c r="A971" s="25" t="s">
        <v>126</v>
      </c>
      <c r="B971" s="26" t="n">
        <f aca="false">PlanDate-87</f>
        <v>46224</v>
      </c>
      <c r="C971" s="25" t="n">
        <v>3</v>
      </c>
    </row>
    <row r="972" customFormat="false" ht="15" hidden="false" customHeight="false" outlineLevel="0" collapsed="false">
      <c r="A972" s="25" t="s">
        <v>126</v>
      </c>
      <c r="B972" s="26" t="n">
        <f aca="false">PlanDate-86</f>
        <v>46225</v>
      </c>
      <c r="C972" s="25" t="n">
        <v>3</v>
      </c>
    </row>
    <row r="973" customFormat="false" ht="15" hidden="false" customHeight="false" outlineLevel="0" collapsed="false">
      <c r="A973" s="25" t="s">
        <v>126</v>
      </c>
      <c r="B973" s="26" t="n">
        <f aca="false">PlanDate-85</f>
        <v>46226</v>
      </c>
      <c r="C973" s="25" t="n">
        <v>5</v>
      </c>
    </row>
    <row r="974" customFormat="false" ht="15" hidden="false" customHeight="false" outlineLevel="0" collapsed="false">
      <c r="A974" s="25" t="s">
        <v>126</v>
      </c>
      <c r="B974" s="26" t="n">
        <f aca="false">PlanDate-83</f>
        <v>46228</v>
      </c>
      <c r="C974" s="25" t="n">
        <v>5</v>
      </c>
    </row>
    <row r="975" customFormat="false" ht="15" hidden="false" customHeight="false" outlineLevel="0" collapsed="false">
      <c r="A975" s="25" t="s">
        <v>126</v>
      </c>
      <c r="B975" s="26" t="n">
        <f aca="false">PlanDate-82</f>
        <v>46229</v>
      </c>
      <c r="C975" s="25" t="n">
        <v>3</v>
      </c>
    </row>
    <row r="976" customFormat="false" ht="15" hidden="false" customHeight="false" outlineLevel="0" collapsed="false">
      <c r="A976" s="25" t="s">
        <v>126</v>
      </c>
      <c r="B976" s="26" t="n">
        <f aca="false">PlanDate-81</f>
        <v>46230</v>
      </c>
      <c r="C976" s="25" t="n">
        <v>3</v>
      </c>
    </row>
    <row r="977" customFormat="false" ht="15" hidden="false" customHeight="false" outlineLevel="0" collapsed="false">
      <c r="A977" s="25" t="s">
        <v>126</v>
      </c>
      <c r="B977" s="26" t="n">
        <f aca="false">PlanDate-80</f>
        <v>46231</v>
      </c>
      <c r="C977" s="25" t="n">
        <v>3</v>
      </c>
    </row>
    <row r="978" customFormat="false" ht="15" hidden="false" customHeight="false" outlineLevel="0" collapsed="false">
      <c r="A978" s="25" t="s">
        <v>126</v>
      </c>
      <c r="B978" s="26" t="n">
        <f aca="false">PlanDate-78</f>
        <v>46233</v>
      </c>
      <c r="C978" s="25" t="n">
        <v>4</v>
      </c>
    </row>
    <row r="979" customFormat="false" ht="15" hidden="false" customHeight="false" outlineLevel="0" collapsed="false">
      <c r="A979" s="25" t="s">
        <v>126</v>
      </c>
      <c r="B979" s="26" t="n">
        <f aca="false">PlanDate-76</f>
        <v>46235</v>
      </c>
      <c r="C979" s="25" t="n">
        <v>3</v>
      </c>
    </row>
    <row r="980" customFormat="false" ht="15" hidden="false" customHeight="false" outlineLevel="0" collapsed="false">
      <c r="A980" s="25" t="s">
        <v>126</v>
      </c>
      <c r="B980" s="26" t="n">
        <f aca="false">PlanDate-74</f>
        <v>46237</v>
      </c>
      <c r="C980" s="25" t="n">
        <v>4</v>
      </c>
    </row>
    <row r="981" customFormat="false" ht="15" hidden="false" customHeight="false" outlineLevel="0" collapsed="false">
      <c r="A981" s="25" t="s">
        <v>126</v>
      </c>
      <c r="B981" s="26" t="n">
        <f aca="false">PlanDate-73</f>
        <v>46238</v>
      </c>
      <c r="C981" s="25" t="n">
        <v>4</v>
      </c>
    </row>
    <row r="982" customFormat="false" ht="15" hidden="false" customHeight="false" outlineLevel="0" collapsed="false">
      <c r="A982" s="25" t="s">
        <v>126</v>
      </c>
      <c r="B982" s="26" t="n">
        <f aca="false">PlanDate-72</f>
        <v>46239</v>
      </c>
      <c r="C982" s="25" t="n">
        <v>5</v>
      </c>
    </row>
    <row r="983" customFormat="false" ht="15" hidden="false" customHeight="false" outlineLevel="0" collapsed="false">
      <c r="A983" s="25" t="s">
        <v>126</v>
      </c>
      <c r="B983" s="26" t="n">
        <f aca="false">PlanDate-70</f>
        <v>46241</v>
      </c>
      <c r="C983" s="25" t="n">
        <v>5</v>
      </c>
    </row>
    <row r="984" customFormat="false" ht="15" hidden="false" customHeight="false" outlineLevel="0" collapsed="false">
      <c r="A984" s="25" t="s">
        <v>126</v>
      </c>
      <c r="B984" s="26" t="n">
        <f aca="false">PlanDate-68</f>
        <v>46243</v>
      </c>
      <c r="C984" s="25" t="n">
        <v>4</v>
      </c>
    </row>
    <row r="985" customFormat="false" ht="15" hidden="false" customHeight="false" outlineLevel="0" collapsed="false">
      <c r="A985" s="25" t="s">
        <v>126</v>
      </c>
      <c r="B985" s="26" t="n">
        <f aca="false">PlanDate-65</f>
        <v>46246</v>
      </c>
      <c r="C985" s="25" t="n">
        <v>5</v>
      </c>
    </row>
    <row r="986" customFormat="false" ht="15" hidden="false" customHeight="false" outlineLevel="0" collapsed="false">
      <c r="A986" s="25" t="s">
        <v>126</v>
      </c>
      <c r="B986" s="26" t="n">
        <f aca="false">PlanDate-60</f>
        <v>46251</v>
      </c>
      <c r="C986" s="25" t="n">
        <v>4</v>
      </c>
    </row>
    <row r="987" customFormat="false" ht="15" hidden="false" customHeight="false" outlineLevel="0" collapsed="false">
      <c r="A987" s="25" t="s">
        <v>126</v>
      </c>
      <c r="B987" s="26" t="n">
        <f aca="false">PlanDate-59</f>
        <v>46252</v>
      </c>
      <c r="C987" s="25" t="n">
        <v>2</v>
      </c>
    </row>
    <row r="988" customFormat="false" ht="15" hidden="false" customHeight="false" outlineLevel="0" collapsed="false">
      <c r="A988" s="25" t="s">
        <v>126</v>
      </c>
      <c r="B988" s="26" t="n">
        <f aca="false">PlanDate-56</f>
        <v>46255</v>
      </c>
      <c r="C988" s="25" t="n">
        <v>3</v>
      </c>
    </row>
    <row r="989" customFormat="false" ht="15" hidden="false" customHeight="false" outlineLevel="0" collapsed="false">
      <c r="A989" s="25" t="s">
        <v>126</v>
      </c>
      <c r="B989" s="26" t="n">
        <f aca="false">PlanDate-54</f>
        <v>46257</v>
      </c>
      <c r="C989" s="25" t="n">
        <v>5</v>
      </c>
    </row>
    <row r="990" customFormat="false" ht="15" hidden="false" customHeight="false" outlineLevel="0" collapsed="false">
      <c r="A990" s="25" t="s">
        <v>126</v>
      </c>
      <c r="B990" s="26" t="n">
        <f aca="false">PlanDate-52</f>
        <v>46259</v>
      </c>
      <c r="C990" s="25" t="n">
        <v>2</v>
      </c>
    </row>
    <row r="991" customFormat="false" ht="15" hidden="false" customHeight="false" outlineLevel="0" collapsed="false">
      <c r="A991" s="25" t="s">
        <v>126</v>
      </c>
      <c r="B991" s="26" t="n">
        <f aca="false">PlanDate-50</f>
        <v>46261</v>
      </c>
      <c r="C991" s="25" t="n">
        <v>2</v>
      </c>
    </row>
    <row r="992" customFormat="false" ht="15" hidden="false" customHeight="false" outlineLevel="0" collapsed="false">
      <c r="A992" s="25" t="s">
        <v>126</v>
      </c>
      <c r="B992" s="26" t="n">
        <f aca="false">PlanDate-49</f>
        <v>46262</v>
      </c>
      <c r="C992" s="25" t="n">
        <v>4</v>
      </c>
    </row>
    <row r="993" customFormat="false" ht="15" hidden="false" customHeight="false" outlineLevel="0" collapsed="false">
      <c r="A993" s="25" t="s">
        <v>126</v>
      </c>
      <c r="B993" s="26" t="n">
        <f aca="false">PlanDate-48</f>
        <v>46263</v>
      </c>
      <c r="C993" s="25" t="n">
        <v>5</v>
      </c>
    </row>
    <row r="994" customFormat="false" ht="15" hidden="false" customHeight="false" outlineLevel="0" collapsed="false">
      <c r="A994" s="25" t="s">
        <v>126</v>
      </c>
      <c r="B994" s="26" t="n">
        <f aca="false">PlanDate-47</f>
        <v>46264</v>
      </c>
      <c r="C994" s="25" t="n">
        <v>5</v>
      </c>
    </row>
    <row r="995" customFormat="false" ht="15" hidden="false" customHeight="false" outlineLevel="0" collapsed="false">
      <c r="A995" s="25" t="s">
        <v>126</v>
      </c>
      <c r="B995" s="26" t="n">
        <f aca="false">PlanDate-46</f>
        <v>46265</v>
      </c>
      <c r="C995" s="25" t="n">
        <v>5</v>
      </c>
    </row>
    <row r="996" customFormat="false" ht="15" hidden="false" customHeight="false" outlineLevel="0" collapsed="false">
      <c r="A996" s="25" t="s">
        <v>126</v>
      </c>
      <c r="B996" s="26" t="n">
        <f aca="false">PlanDate-45</f>
        <v>46266</v>
      </c>
      <c r="C996" s="25" t="n">
        <v>2</v>
      </c>
    </row>
    <row r="997" customFormat="false" ht="15" hidden="false" customHeight="false" outlineLevel="0" collapsed="false">
      <c r="A997" s="25" t="s">
        <v>126</v>
      </c>
      <c r="B997" s="26" t="n">
        <f aca="false">PlanDate-43</f>
        <v>46268</v>
      </c>
      <c r="C997" s="25" t="n">
        <v>4</v>
      </c>
    </row>
    <row r="998" customFormat="false" ht="15" hidden="false" customHeight="false" outlineLevel="0" collapsed="false">
      <c r="A998" s="25" t="s">
        <v>126</v>
      </c>
      <c r="B998" s="26" t="n">
        <f aca="false">PlanDate-42</f>
        <v>46269</v>
      </c>
      <c r="C998" s="25" t="n">
        <v>3</v>
      </c>
    </row>
    <row r="999" customFormat="false" ht="15" hidden="false" customHeight="false" outlineLevel="0" collapsed="false">
      <c r="A999" s="25" t="s">
        <v>126</v>
      </c>
      <c r="B999" s="26" t="n">
        <f aca="false">PlanDate-37</f>
        <v>46274</v>
      </c>
      <c r="C999" s="25" t="n">
        <v>5</v>
      </c>
    </row>
    <row r="1000" customFormat="false" ht="15" hidden="false" customHeight="false" outlineLevel="0" collapsed="false">
      <c r="A1000" s="25" t="s">
        <v>126</v>
      </c>
      <c r="B1000" s="26" t="n">
        <f aca="false">PlanDate-36</f>
        <v>46275</v>
      </c>
      <c r="C1000" s="25" t="n">
        <v>2</v>
      </c>
    </row>
    <row r="1001" customFormat="false" ht="15" hidden="false" customHeight="false" outlineLevel="0" collapsed="false">
      <c r="A1001" s="25" t="s">
        <v>126</v>
      </c>
      <c r="B1001" s="26" t="n">
        <f aca="false">PlanDate-35</f>
        <v>46276</v>
      </c>
      <c r="C1001" s="25" t="n">
        <v>3</v>
      </c>
    </row>
    <row r="1002" customFormat="false" ht="15" hidden="false" customHeight="false" outlineLevel="0" collapsed="false">
      <c r="A1002" s="25" t="s">
        <v>126</v>
      </c>
      <c r="B1002" s="26" t="n">
        <f aca="false">PlanDate-33</f>
        <v>46278</v>
      </c>
      <c r="C1002" s="25" t="n">
        <v>4</v>
      </c>
    </row>
    <row r="1003" customFormat="false" ht="15" hidden="false" customHeight="false" outlineLevel="0" collapsed="false">
      <c r="A1003" s="25" t="s">
        <v>126</v>
      </c>
      <c r="B1003" s="26" t="n">
        <f aca="false">PlanDate-31</f>
        <v>46280</v>
      </c>
      <c r="C1003" s="25" t="n">
        <v>3</v>
      </c>
    </row>
    <row r="1004" customFormat="false" ht="15" hidden="false" customHeight="false" outlineLevel="0" collapsed="false">
      <c r="A1004" s="25" t="s">
        <v>126</v>
      </c>
      <c r="B1004" s="26" t="n">
        <f aca="false">PlanDate-30</f>
        <v>46281</v>
      </c>
      <c r="C1004" s="25" t="n">
        <v>5</v>
      </c>
    </row>
    <row r="1005" customFormat="false" ht="15" hidden="false" customHeight="false" outlineLevel="0" collapsed="false">
      <c r="A1005" s="25" t="s">
        <v>126</v>
      </c>
      <c r="B1005" s="26" t="n">
        <f aca="false">PlanDate-27</f>
        <v>46284</v>
      </c>
      <c r="C1005" s="25" t="n">
        <v>4</v>
      </c>
    </row>
    <row r="1006" customFormat="false" ht="15" hidden="false" customHeight="false" outlineLevel="0" collapsed="false">
      <c r="A1006" s="25" t="s">
        <v>126</v>
      </c>
      <c r="B1006" s="26" t="n">
        <f aca="false">PlanDate-26</f>
        <v>46285</v>
      </c>
      <c r="C1006" s="25" t="n">
        <v>5</v>
      </c>
    </row>
    <row r="1007" customFormat="false" ht="15" hidden="false" customHeight="false" outlineLevel="0" collapsed="false">
      <c r="A1007" s="25" t="s">
        <v>126</v>
      </c>
      <c r="B1007" s="26" t="n">
        <f aca="false">PlanDate-25</f>
        <v>46286</v>
      </c>
      <c r="C1007" s="25" t="n">
        <v>3</v>
      </c>
    </row>
    <row r="1008" customFormat="false" ht="15" hidden="false" customHeight="false" outlineLevel="0" collapsed="false">
      <c r="A1008" s="25" t="s">
        <v>126</v>
      </c>
      <c r="B1008" s="26" t="n">
        <f aca="false">PlanDate-24</f>
        <v>46287</v>
      </c>
      <c r="C1008" s="25" t="n">
        <v>3</v>
      </c>
    </row>
    <row r="1009" customFormat="false" ht="15" hidden="false" customHeight="false" outlineLevel="0" collapsed="false">
      <c r="A1009" s="25" t="s">
        <v>126</v>
      </c>
      <c r="B1009" s="26" t="n">
        <f aca="false">PlanDate-22</f>
        <v>46289</v>
      </c>
      <c r="C1009" s="25" t="n">
        <v>3</v>
      </c>
    </row>
    <row r="1010" customFormat="false" ht="15" hidden="false" customHeight="false" outlineLevel="0" collapsed="false">
      <c r="A1010" s="25" t="s">
        <v>126</v>
      </c>
      <c r="B1010" s="26" t="n">
        <f aca="false">PlanDate-21</f>
        <v>46290</v>
      </c>
      <c r="C1010" s="25" t="n">
        <v>4</v>
      </c>
    </row>
    <row r="1011" customFormat="false" ht="15" hidden="false" customHeight="false" outlineLevel="0" collapsed="false">
      <c r="A1011" s="25" t="s">
        <v>126</v>
      </c>
      <c r="B1011" s="26" t="n">
        <f aca="false">PlanDate-19</f>
        <v>46292</v>
      </c>
      <c r="C1011" s="25" t="n">
        <v>5</v>
      </c>
    </row>
    <row r="1012" customFormat="false" ht="15" hidden="false" customHeight="false" outlineLevel="0" collapsed="false">
      <c r="A1012" s="25" t="s">
        <v>126</v>
      </c>
      <c r="B1012" s="26" t="n">
        <f aca="false">PlanDate-18</f>
        <v>46293</v>
      </c>
      <c r="C1012" s="25" t="n">
        <v>1</v>
      </c>
    </row>
    <row r="1013" customFormat="false" ht="15" hidden="false" customHeight="false" outlineLevel="0" collapsed="false">
      <c r="A1013" s="25" t="s">
        <v>126</v>
      </c>
      <c r="B1013" s="26" t="n">
        <f aca="false">PlanDate-17</f>
        <v>46294</v>
      </c>
      <c r="C1013" s="25" t="n">
        <v>3</v>
      </c>
    </row>
    <row r="1014" customFormat="false" ht="15" hidden="false" customHeight="false" outlineLevel="0" collapsed="false">
      <c r="A1014" s="25" t="s">
        <v>126</v>
      </c>
      <c r="B1014" s="26" t="n">
        <f aca="false">PlanDate-16</f>
        <v>46295</v>
      </c>
      <c r="C1014" s="25" t="n">
        <v>3</v>
      </c>
    </row>
    <row r="1015" customFormat="false" ht="15" hidden="false" customHeight="false" outlineLevel="0" collapsed="false">
      <c r="A1015" s="25" t="s">
        <v>126</v>
      </c>
      <c r="B1015" s="26" t="n">
        <f aca="false">PlanDate-15</f>
        <v>46296</v>
      </c>
      <c r="C1015" s="25" t="n">
        <v>5</v>
      </c>
    </row>
    <row r="1016" customFormat="false" ht="15" hidden="false" customHeight="false" outlineLevel="0" collapsed="false">
      <c r="A1016" s="25" t="s">
        <v>126</v>
      </c>
      <c r="B1016" s="26" t="n">
        <f aca="false">PlanDate-14</f>
        <v>46297</v>
      </c>
      <c r="C1016" s="25" t="n">
        <v>2</v>
      </c>
    </row>
    <row r="1017" customFormat="false" ht="15" hidden="false" customHeight="false" outlineLevel="0" collapsed="false">
      <c r="A1017" s="25" t="s">
        <v>126</v>
      </c>
      <c r="B1017" s="26" t="n">
        <f aca="false">PlanDate-13</f>
        <v>46298</v>
      </c>
      <c r="C1017" s="25" t="n">
        <v>4</v>
      </c>
    </row>
    <row r="1018" customFormat="false" ht="15" hidden="false" customHeight="false" outlineLevel="0" collapsed="false">
      <c r="A1018" s="25" t="s">
        <v>126</v>
      </c>
      <c r="B1018" s="26" t="n">
        <f aca="false">PlanDate-12</f>
        <v>46299</v>
      </c>
      <c r="C1018" s="25" t="n">
        <v>3</v>
      </c>
    </row>
    <row r="1019" customFormat="false" ht="15" hidden="false" customHeight="false" outlineLevel="0" collapsed="false">
      <c r="A1019" s="25" t="s">
        <v>126</v>
      </c>
      <c r="B1019" s="26" t="n">
        <f aca="false">PlanDate-10</f>
        <v>46301</v>
      </c>
      <c r="C1019" s="25" t="n">
        <v>2</v>
      </c>
    </row>
    <row r="1020" customFormat="false" ht="15" hidden="false" customHeight="false" outlineLevel="0" collapsed="false">
      <c r="A1020" s="25" t="s">
        <v>126</v>
      </c>
      <c r="B1020" s="26" t="n">
        <f aca="false">PlanDate-9</f>
        <v>46302</v>
      </c>
      <c r="C1020" s="25" t="n">
        <v>4</v>
      </c>
    </row>
    <row r="1021" customFormat="false" ht="15" hidden="false" customHeight="false" outlineLevel="0" collapsed="false">
      <c r="A1021" s="25" t="s">
        <v>126</v>
      </c>
      <c r="B1021" s="26" t="n">
        <f aca="false">PlanDate-8</f>
        <v>46303</v>
      </c>
      <c r="C1021" s="25" t="n">
        <v>5</v>
      </c>
    </row>
    <row r="1022" customFormat="false" ht="15" hidden="false" customHeight="false" outlineLevel="0" collapsed="false">
      <c r="A1022" s="25" t="s">
        <v>126</v>
      </c>
      <c r="B1022" s="26" t="n">
        <f aca="false">PlanDate-4</f>
        <v>46307</v>
      </c>
      <c r="C1022" s="25" t="n">
        <v>3</v>
      </c>
    </row>
    <row r="1023" customFormat="false" ht="15" hidden="false" customHeight="false" outlineLevel="0" collapsed="false">
      <c r="A1023" s="25" t="s">
        <v>126</v>
      </c>
      <c r="B1023" s="26" t="n">
        <f aca="false">PlanDate-3</f>
        <v>46308</v>
      </c>
      <c r="C1023" s="25" t="n">
        <v>5</v>
      </c>
    </row>
    <row r="1024" customFormat="false" ht="15" hidden="false" customHeight="false" outlineLevel="0" collapsed="false">
      <c r="A1024" s="25" t="s">
        <v>126</v>
      </c>
      <c r="B1024" s="26" t="n">
        <f aca="false">PlanDate-1</f>
        <v>46310</v>
      </c>
      <c r="C1024" s="25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G2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8"/>
  </cols>
  <sheetData>
    <row r="1" customFormat="false" ht="30" hidden="false" customHeight="true" outlineLevel="0" collapsed="false">
      <c r="A1" s="15" t="s">
        <v>84</v>
      </c>
      <c r="B1" s="15" t="s">
        <v>133</v>
      </c>
      <c r="C1" s="15" t="s">
        <v>131</v>
      </c>
      <c r="D1" s="15" t="s">
        <v>134</v>
      </c>
      <c r="E1" s="14" t="s">
        <v>135</v>
      </c>
      <c r="G1" s="3" t="s">
        <v>136</v>
      </c>
    </row>
    <row r="2" customFormat="false" ht="15" hidden="false" customHeight="false" outlineLevel="0" collapsed="false">
      <c r="A2" s="11" t="s">
        <v>106</v>
      </c>
      <c r="B2" s="6" t="n">
        <f aca="false">PlanDate+12</f>
        <v>46323</v>
      </c>
      <c r="C2" s="11" t="n">
        <v>150</v>
      </c>
      <c r="D2" s="11" t="s">
        <v>137</v>
      </c>
      <c r="E2" s="8" t="str">
        <f aca="false">IF($A2="","",IF($B2&lt;PlanDate,"Late",""))</f>
        <v/>
      </c>
    </row>
    <row r="3" customFormat="false" ht="15" hidden="false" customHeight="false" outlineLevel="0" collapsed="false">
      <c r="A3" s="11" t="s">
        <v>112</v>
      </c>
      <c r="B3" s="6" t="n">
        <f aca="false">PlanDate+40</f>
        <v>46351</v>
      </c>
      <c r="C3" s="11" t="n">
        <v>4</v>
      </c>
      <c r="D3" s="11" t="s">
        <v>138</v>
      </c>
      <c r="E3" s="8" t="str">
        <f aca="false">IF($A3="","",IF($B3&lt;PlanDate,"Late",""))</f>
        <v/>
      </c>
    </row>
    <row r="4" customFormat="false" ht="15" hidden="false" customHeight="false" outlineLevel="0" collapsed="false">
      <c r="A4" s="11" t="s">
        <v>118</v>
      </c>
      <c r="B4" s="6" t="n">
        <f aca="false">PlanDate+9</f>
        <v>46320</v>
      </c>
      <c r="C4" s="11" t="n">
        <v>200</v>
      </c>
      <c r="D4" s="11" t="s">
        <v>139</v>
      </c>
      <c r="E4" s="8" t="str">
        <f aca="false">IF($A4="","",IF($B4&lt;PlanDate,"Late",""))</f>
        <v/>
      </c>
    </row>
    <row r="5" customFormat="false" ht="15" hidden="false" customHeight="false" outlineLevel="0" collapsed="false">
      <c r="A5" s="11" t="s">
        <v>110</v>
      </c>
      <c r="B5" s="6" t="n">
        <f aca="false">PlanDate-3</f>
        <v>46308</v>
      </c>
      <c r="C5" s="11" t="n">
        <v>48</v>
      </c>
      <c r="D5" s="11" t="s">
        <v>140</v>
      </c>
      <c r="E5" s="8" t="str">
        <f aca="false">IF($A5="","",IF($B5&lt;PlanDate,"Late",""))</f>
        <v>Late</v>
      </c>
    </row>
    <row r="6" customFormat="false" ht="15" hidden="false" customHeight="false" outlineLevel="0" collapsed="false">
      <c r="A6" s="11"/>
      <c r="B6" s="6"/>
      <c r="C6" s="11"/>
      <c r="D6" s="11"/>
      <c r="E6" s="8" t="str">
        <f aca="false">IF($A6="","",IF($B6&lt;PlanDate,"Late",""))</f>
        <v/>
      </c>
    </row>
    <row r="7" customFormat="false" ht="15" hidden="false" customHeight="false" outlineLevel="0" collapsed="false">
      <c r="A7" s="11"/>
      <c r="B7" s="6"/>
      <c r="C7" s="11"/>
      <c r="D7" s="11"/>
      <c r="E7" s="8" t="str">
        <f aca="false">IF($A7="","",IF($B7&lt;PlanDate,"Late",""))</f>
        <v/>
      </c>
    </row>
    <row r="8" customFormat="false" ht="15" hidden="false" customHeight="false" outlineLevel="0" collapsed="false">
      <c r="A8" s="11"/>
      <c r="B8" s="6"/>
      <c r="C8" s="11"/>
      <c r="D8" s="11"/>
      <c r="E8" s="8" t="str">
        <f aca="false">IF($A8="","",IF($B8&lt;PlanDate,"Late",""))</f>
        <v/>
      </c>
    </row>
    <row r="9" customFormat="false" ht="15" hidden="false" customHeight="false" outlineLevel="0" collapsed="false">
      <c r="A9" s="11"/>
      <c r="B9" s="6"/>
      <c r="C9" s="11"/>
      <c r="D9" s="11"/>
      <c r="E9" s="8" t="str">
        <f aca="false">IF($A9="","",IF($B9&lt;PlanDate,"Late",""))</f>
        <v/>
      </c>
    </row>
    <row r="10" customFormat="false" ht="15" hidden="false" customHeight="false" outlineLevel="0" collapsed="false">
      <c r="A10" s="11"/>
      <c r="B10" s="6"/>
      <c r="C10" s="11"/>
      <c r="D10" s="11"/>
      <c r="E10" s="8" t="str">
        <f aca="false">IF($A10="","",IF($B10&lt;PlanDate,"Late",""))</f>
        <v/>
      </c>
    </row>
    <row r="11" customFormat="false" ht="15" hidden="false" customHeight="false" outlineLevel="0" collapsed="false">
      <c r="A11" s="11"/>
      <c r="B11" s="6"/>
      <c r="C11" s="11"/>
      <c r="D11" s="11"/>
      <c r="E11" s="8" t="str">
        <f aca="false">IF($A11="","",IF($B11&lt;PlanDate,"Late",""))</f>
        <v/>
      </c>
    </row>
    <row r="12" customFormat="false" ht="15" hidden="false" customHeight="false" outlineLevel="0" collapsed="false">
      <c r="A12" s="11"/>
      <c r="B12" s="6"/>
      <c r="C12" s="11"/>
      <c r="D12" s="11"/>
      <c r="E12" s="8" t="str">
        <f aca="false">IF($A12="","",IF($B12&lt;PlanDate,"Late",""))</f>
        <v/>
      </c>
    </row>
    <row r="13" customFormat="false" ht="15" hidden="false" customHeight="false" outlineLevel="0" collapsed="false">
      <c r="A13" s="11"/>
      <c r="B13" s="6"/>
      <c r="C13" s="11"/>
      <c r="D13" s="11"/>
      <c r="E13" s="8" t="str">
        <f aca="false">IF($A13="","",IF($B13&lt;PlanDate,"Late",""))</f>
        <v/>
      </c>
    </row>
    <row r="14" customFormat="false" ht="15" hidden="false" customHeight="false" outlineLevel="0" collapsed="false">
      <c r="A14" s="11"/>
      <c r="B14" s="6"/>
      <c r="C14" s="11"/>
      <c r="D14" s="11"/>
      <c r="E14" s="8" t="str">
        <f aca="false">IF($A14="","",IF($B14&lt;PlanDate,"Late",""))</f>
        <v/>
      </c>
    </row>
    <row r="15" customFormat="false" ht="15" hidden="false" customHeight="false" outlineLevel="0" collapsed="false">
      <c r="A15" s="11"/>
      <c r="B15" s="6"/>
      <c r="C15" s="11"/>
      <c r="D15" s="11"/>
      <c r="E15" s="8" t="str">
        <f aca="false">IF($A15="","",IF($B15&lt;PlanDate,"Late",""))</f>
        <v/>
      </c>
    </row>
    <row r="16" customFormat="false" ht="15" hidden="false" customHeight="false" outlineLevel="0" collapsed="false">
      <c r="A16" s="11"/>
      <c r="B16" s="6"/>
      <c r="C16" s="11"/>
      <c r="D16" s="11"/>
      <c r="E16" s="8" t="str">
        <f aca="false">IF($A16="","",IF($B16&lt;PlanDate,"Late",""))</f>
        <v/>
      </c>
    </row>
    <row r="17" customFormat="false" ht="15" hidden="false" customHeight="false" outlineLevel="0" collapsed="false">
      <c r="A17" s="11"/>
      <c r="B17" s="6"/>
      <c r="C17" s="11"/>
      <c r="D17" s="11"/>
      <c r="E17" s="8" t="str">
        <f aca="false">IF($A17="","",IF($B17&lt;PlanDate,"Late",""))</f>
        <v/>
      </c>
    </row>
    <row r="18" customFormat="false" ht="15" hidden="false" customHeight="false" outlineLevel="0" collapsed="false">
      <c r="A18" s="11"/>
      <c r="B18" s="6"/>
      <c r="C18" s="11"/>
      <c r="D18" s="11"/>
      <c r="E18" s="8" t="str">
        <f aca="false">IF($A18="","",IF($B18&lt;PlanDate,"Late",""))</f>
        <v/>
      </c>
    </row>
    <row r="19" customFormat="false" ht="15" hidden="false" customHeight="false" outlineLevel="0" collapsed="false">
      <c r="A19" s="11"/>
      <c r="B19" s="6"/>
      <c r="C19" s="11"/>
      <c r="D19" s="11"/>
      <c r="E19" s="8" t="str">
        <f aca="false">IF($A19="","",IF($B19&lt;PlanDate,"Late",""))</f>
        <v/>
      </c>
    </row>
    <row r="20" customFormat="false" ht="15" hidden="false" customHeight="false" outlineLevel="0" collapsed="false">
      <c r="A20" s="11"/>
      <c r="B20" s="6"/>
      <c r="C20" s="11"/>
      <c r="D20" s="11"/>
      <c r="E20" s="8" t="str">
        <f aca="false">IF($A20="","",IF($B20&lt;PlanDate,"Late",""))</f>
        <v/>
      </c>
    </row>
    <row r="21" customFormat="false" ht="15" hidden="false" customHeight="false" outlineLevel="0" collapsed="false">
      <c r="A21" s="11"/>
      <c r="B21" s="6"/>
      <c r="C21" s="11"/>
      <c r="D21" s="11"/>
      <c r="E21" s="8" t="str">
        <f aca="false">IF($A21="","",IF($B21&lt;PlanDate,"Late",""))</f>
        <v/>
      </c>
    </row>
    <row r="22" customFormat="false" ht="15" hidden="false" customHeight="false" outlineLevel="0" collapsed="false">
      <c r="A22" s="11"/>
      <c r="B22" s="6"/>
      <c r="C22" s="11"/>
      <c r="D22" s="11"/>
      <c r="E22" s="8" t="str">
        <f aca="false">IF($A22="","",IF($B22&lt;PlanDate,"Late",""))</f>
        <v/>
      </c>
    </row>
    <row r="23" customFormat="false" ht="15" hidden="false" customHeight="false" outlineLevel="0" collapsed="false">
      <c r="A23" s="11"/>
      <c r="B23" s="6"/>
      <c r="C23" s="11"/>
      <c r="D23" s="11"/>
      <c r="E23" s="8" t="str">
        <f aca="false">IF($A23="","",IF($B23&lt;PlanDate,"Late",""))</f>
        <v/>
      </c>
    </row>
    <row r="24" customFormat="false" ht="15" hidden="false" customHeight="false" outlineLevel="0" collapsed="false">
      <c r="A24" s="11"/>
      <c r="B24" s="6"/>
      <c r="C24" s="11"/>
      <c r="D24" s="11"/>
      <c r="E24" s="8" t="str">
        <f aca="false">IF($A24="","",IF($B24&lt;PlanDate,"Late",""))</f>
        <v/>
      </c>
    </row>
    <row r="25" customFormat="false" ht="15" hidden="false" customHeight="false" outlineLevel="0" collapsed="false">
      <c r="A25" s="11"/>
      <c r="B25" s="6"/>
      <c r="C25" s="11"/>
      <c r="D25" s="11"/>
      <c r="E25" s="8" t="str">
        <f aca="false">IF($A25="","",IF($B25&lt;PlanDate,"Late",""))</f>
        <v/>
      </c>
    </row>
    <row r="26" customFormat="false" ht="15" hidden="false" customHeight="false" outlineLevel="0" collapsed="false">
      <c r="A26" s="11"/>
      <c r="B26" s="6"/>
      <c r="C26" s="11"/>
      <c r="D26" s="11"/>
      <c r="E26" s="8" t="str">
        <f aca="false">IF($A26="","",IF($B26&lt;PlanDate,"Late",""))</f>
        <v/>
      </c>
    </row>
    <row r="27" customFormat="false" ht="15" hidden="false" customHeight="false" outlineLevel="0" collapsed="false">
      <c r="A27" s="11"/>
      <c r="B27" s="6"/>
      <c r="C27" s="11"/>
      <c r="D27" s="11"/>
      <c r="E27" s="8" t="str">
        <f aca="false">IF($A27="","",IF($B27&lt;PlanDate,"Late",""))</f>
        <v/>
      </c>
    </row>
    <row r="28" customFormat="false" ht="15" hidden="false" customHeight="false" outlineLevel="0" collapsed="false">
      <c r="A28" s="11"/>
      <c r="B28" s="6"/>
      <c r="C28" s="11"/>
      <c r="D28" s="11"/>
      <c r="E28" s="8" t="str">
        <f aca="false">IF($A28="","",IF($B28&lt;PlanDate,"Late",""))</f>
        <v/>
      </c>
    </row>
    <row r="29" customFormat="false" ht="15" hidden="false" customHeight="false" outlineLevel="0" collapsed="false">
      <c r="A29" s="11"/>
      <c r="B29" s="6"/>
      <c r="C29" s="11"/>
      <c r="D29" s="11"/>
      <c r="E29" s="8" t="str">
        <f aca="false">IF($A29="","",IF($B29&lt;PlanDate,"Late",""))</f>
        <v/>
      </c>
    </row>
    <row r="30" customFormat="false" ht="15" hidden="false" customHeight="false" outlineLevel="0" collapsed="false">
      <c r="A30" s="11"/>
      <c r="B30" s="6"/>
      <c r="C30" s="11"/>
      <c r="D30" s="11"/>
      <c r="E30" s="8" t="str">
        <f aca="false">IF($A30="","",IF($B30&lt;PlanDate,"Late",""))</f>
        <v/>
      </c>
    </row>
    <row r="31" customFormat="false" ht="15" hidden="false" customHeight="false" outlineLevel="0" collapsed="false">
      <c r="A31" s="11"/>
      <c r="B31" s="6"/>
      <c r="C31" s="11"/>
      <c r="D31" s="11"/>
      <c r="E31" s="8" t="str">
        <f aca="false">IF($A31="","",IF($B31&lt;PlanDate,"Late",""))</f>
        <v/>
      </c>
    </row>
    <row r="32" customFormat="false" ht="15" hidden="false" customHeight="false" outlineLevel="0" collapsed="false">
      <c r="A32" s="11"/>
      <c r="B32" s="6"/>
      <c r="C32" s="11"/>
      <c r="D32" s="11"/>
      <c r="E32" s="8" t="str">
        <f aca="false">IF($A32="","",IF($B32&lt;PlanDate,"Late",""))</f>
        <v/>
      </c>
    </row>
    <row r="33" customFormat="false" ht="15" hidden="false" customHeight="false" outlineLevel="0" collapsed="false">
      <c r="A33" s="11"/>
      <c r="B33" s="6"/>
      <c r="C33" s="11"/>
      <c r="D33" s="11"/>
      <c r="E33" s="8" t="str">
        <f aca="false">IF($A33="","",IF($B33&lt;PlanDate,"Late",""))</f>
        <v/>
      </c>
    </row>
    <row r="34" customFormat="false" ht="15" hidden="false" customHeight="false" outlineLevel="0" collapsed="false">
      <c r="A34" s="11"/>
      <c r="B34" s="6"/>
      <c r="C34" s="11"/>
      <c r="D34" s="11"/>
      <c r="E34" s="8" t="str">
        <f aca="false">IF($A34="","",IF($B34&lt;PlanDate,"Late",""))</f>
        <v/>
      </c>
    </row>
    <row r="35" customFormat="false" ht="15" hidden="false" customHeight="false" outlineLevel="0" collapsed="false">
      <c r="A35" s="11"/>
      <c r="B35" s="6"/>
      <c r="C35" s="11"/>
      <c r="D35" s="11"/>
      <c r="E35" s="8" t="str">
        <f aca="false">IF($A35="","",IF($B35&lt;PlanDate,"Late",""))</f>
        <v/>
      </c>
    </row>
    <row r="36" customFormat="false" ht="15" hidden="false" customHeight="false" outlineLevel="0" collapsed="false">
      <c r="A36" s="11"/>
      <c r="B36" s="6"/>
      <c r="C36" s="11"/>
      <c r="D36" s="11"/>
      <c r="E36" s="8" t="str">
        <f aca="false">IF($A36="","",IF($B36&lt;PlanDate,"Late",""))</f>
        <v/>
      </c>
    </row>
    <row r="37" customFormat="false" ht="15" hidden="false" customHeight="false" outlineLevel="0" collapsed="false">
      <c r="A37" s="11"/>
      <c r="B37" s="6"/>
      <c r="C37" s="11"/>
      <c r="D37" s="11"/>
      <c r="E37" s="8" t="str">
        <f aca="false">IF($A37="","",IF($B37&lt;PlanDate,"Late",""))</f>
        <v/>
      </c>
    </row>
    <row r="38" customFormat="false" ht="15" hidden="false" customHeight="false" outlineLevel="0" collapsed="false">
      <c r="A38" s="11"/>
      <c r="B38" s="6"/>
      <c r="C38" s="11"/>
      <c r="D38" s="11"/>
      <c r="E38" s="8" t="str">
        <f aca="false">IF($A38="","",IF($B38&lt;PlanDate,"Late",""))</f>
        <v/>
      </c>
    </row>
    <row r="39" customFormat="false" ht="15" hidden="false" customHeight="false" outlineLevel="0" collapsed="false">
      <c r="A39" s="11"/>
      <c r="B39" s="6"/>
      <c r="C39" s="11"/>
      <c r="D39" s="11"/>
      <c r="E39" s="8" t="str">
        <f aca="false">IF($A39="","",IF($B39&lt;PlanDate,"Late",""))</f>
        <v/>
      </c>
    </row>
    <row r="40" customFormat="false" ht="15" hidden="false" customHeight="false" outlineLevel="0" collapsed="false">
      <c r="A40" s="11"/>
      <c r="B40" s="6"/>
      <c r="C40" s="11"/>
      <c r="D40" s="11"/>
      <c r="E40" s="8" t="str">
        <f aca="false">IF($A40="","",IF($B40&lt;PlanDate,"Late",""))</f>
        <v/>
      </c>
    </row>
    <row r="41" customFormat="false" ht="15" hidden="false" customHeight="false" outlineLevel="0" collapsed="false">
      <c r="A41" s="11"/>
      <c r="B41" s="6"/>
      <c r="C41" s="11"/>
      <c r="D41" s="11"/>
      <c r="E41" s="8" t="str">
        <f aca="false">IF($A41="","",IF($B41&lt;PlanDate,"Late",""))</f>
        <v/>
      </c>
    </row>
    <row r="42" customFormat="false" ht="15" hidden="false" customHeight="false" outlineLevel="0" collapsed="false">
      <c r="A42" s="11"/>
      <c r="B42" s="6"/>
      <c r="C42" s="11"/>
      <c r="D42" s="11"/>
      <c r="E42" s="8" t="str">
        <f aca="false">IF($A42="","",IF($B42&lt;PlanDate,"Late",""))</f>
        <v/>
      </c>
    </row>
    <row r="43" customFormat="false" ht="15" hidden="false" customHeight="false" outlineLevel="0" collapsed="false">
      <c r="A43" s="11"/>
      <c r="B43" s="6"/>
      <c r="C43" s="11"/>
      <c r="D43" s="11"/>
      <c r="E43" s="8" t="str">
        <f aca="false">IF($A43="","",IF($B43&lt;PlanDate,"Late",""))</f>
        <v/>
      </c>
    </row>
    <row r="44" customFormat="false" ht="15" hidden="false" customHeight="false" outlineLevel="0" collapsed="false">
      <c r="A44" s="11"/>
      <c r="B44" s="6"/>
      <c r="C44" s="11"/>
      <c r="D44" s="11"/>
      <c r="E44" s="8" t="str">
        <f aca="false">IF($A44="","",IF($B44&lt;PlanDate,"Late",""))</f>
        <v/>
      </c>
    </row>
    <row r="45" customFormat="false" ht="15" hidden="false" customHeight="false" outlineLevel="0" collapsed="false">
      <c r="A45" s="11"/>
      <c r="B45" s="6"/>
      <c r="C45" s="11"/>
      <c r="D45" s="11"/>
      <c r="E45" s="8" t="str">
        <f aca="false">IF($A45="","",IF($B45&lt;PlanDate,"Late",""))</f>
        <v/>
      </c>
    </row>
    <row r="46" customFormat="false" ht="15" hidden="false" customHeight="false" outlineLevel="0" collapsed="false">
      <c r="A46" s="11"/>
      <c r="B46" s="6"/>
      <c r="C46" s="11"/>
      <c r="D46" s="11"/>
      <c r="E46" s="8" t="str">
        <f aca="false">IF($A46="","",IF($B46&lt;PlanDate,"Late",""))</f>
        <v/>
      </c>
    </row>
    <row r="47" customFormat="false" ht="15" hidden="false" customHeight="false" outlineLevel="0" collapsed="false">
      <c r="A47" s="11"/>
      <c r="B47" s="6"/>
      <c r="C47" s="11"/>
      <c r="D47" s="11"/>
      <c r="E47" s="8" t="str">
        <f aca="false">IF($A47="","",IF($B47&lt;PlanDate,"Late",""))</f>
        <v/>
      </c>
    </row>
    <row r="48" customFormat="false" ht="15" hidden="false" customHeight="false" outlineLevel="0" collapsed="false">
      <c r="A48" s="11"/>
      <c r="B48" s="6"/>
      <c r="C48" s="11"/>
      <c r="D48" s="11"/>
      <c r="E48" s="8" t="str">
        <f aca="false">IF($A48="","",IF($B48&lt;PlanDate,"Late",""))</f>
        <v/>
      </c>
    </row>
    <row r="49" customFormat="false" ht="15" hidden="false" customHeight="false" outlineLevel="0" collapsed="false">
      <c r="A49" s="11"/>
      <c r="B49" s="6"/>
      <c r="C49" s="11"/>
      <c r="D49" s="11"/>
      <c r="E49" s="8" t="str">
        <f aca="false">IF($A49="","",IF($B49&lt;PlanDate,"Late",""))</f>
        <v/>
      </c>
    </row>
    <row r="50" customFormat="false" ht="15" hidden="false" customHeight="false" outlineLevel="0" collapsed="false">
      <c r="A50" s="11"/>
      <c r="B50" s="6"/>
      <c r="C50" s="11"/>
      <c r="D50" s="11"/>
      <c r="E50" s="8" t="str">
        <f aca="false">IF($A50="","",IF($B50&lt;PlanDate,"Late",""))</f>
        <v/>
      </c>
    </row>
    <row r="51" customFormat="false" ht="15" hidden="false" customHeight="false" outlineLevel="0" collapsed="false">
      <c r="A51" s="11"/>
      <c r="B51" s="6"/>
      <c r="C51" s="11"/>
      <c r="D51" s="11"/>
      <c r="E51" s="8" t="str">
        <f aca="false">IF($A51="","",IF($B51&lt;PlanDate,"Late",""))</f>
        <v/>
      </c>
    </row>
    <row r="52" customFormat="false" ht="15" hidden="false" customHeight="false" outlineLevel="0" collapsed="false">
      <c r="A52" s="11"/>
      <c r="B52" s="6"/>
      <c r="C52" s="11"/>
      <c r="D52" s="11"/>
      <c r="E52" s="8" t="str">
        <f aca="false">IF($A52="","",IF($B52&lt;PlanDate,"Late",""))</f>
        <v/>
      </c>
    </row>
    <row r="53" customFormat="false" ht="15" hidden="false" customHeight="false" outlineLevel="0" collapsed="false">
      <c r="A53" s="11"/>
      <c r="B53" s="6"/>
      <c r="C53" s="11"/>
      <c r="D53" s="11"/>
      <c r="E53" s="8" t="str">
        <f aca="false">IF($A53="","",IF($B53&lt;PlanDate,"Late",""))</f>
        <v/>
      </c>
    </row>
    <row r="54" customFormat="false" ht="15" hidden="false" customHeight="false" outlineLevel="0" collapsed="false">
      <c r="A54" s="11"/>
      <c r="B54" s="6"/>
      <c r="C54" s="11"/>
      <c r="D54" s="11"/>
      <c r="E54" s="8" t="str">
        <f aca="false">IF($A54="","",IF($B54&lt;PlanDate,"Late",""))</f>
        <v/>
      </c>
    </row>
    <row r="55" customFormat="false" ht="15" hidden="false" customHeight="false" outlineLevel="0" collapsed="false">
      <c r="A55" s="11"/>
      <c r="B55" s="6"/>
      <c r="C55" s="11"/>
      <c r="D55" s="11"/>
      <c r="E55" s="8" t="str">
        <f aca="false">IF($A55="","",IF($B55&lt;PlanDate,"Late",""))</f>
        <v/>
      </c>
    </row>
    <row r="56" customFormat="false" ht="15" hidden="false" customHeight="false" outlineLevel="0" collapsed="false">
      <c r="A56" s="11"/>
      <c r="B56" s="6"/>
      <c r="C56" s="11"/>
      <c r="D56" s="11"/>
      <c r="E56" s="8" t="str">
        <f aca="false">IF($A56="","",IF($B56&lt;PlanDate,"Late",""))</f>
        <v/>
      </c>
    </row>
    <row r="57" customFormat="false" ht="15" hidden="false" customHeight="false" outlineLevel="0" collapsed="false">
      <c r="A57" s="11"/>
      <c r="B57" s="6"/>
      <c r="C57" s="11"/>
      <c r="D57" s="11"/>
      <c r="E57" s="8" t="str">
        <f aca="false">IF($A57="","",IF($B57&lt;PlanDate,"Late",""))</f>
        <v/>
      </c>
    </row>
    <row r="58" customFormat="false" ht="15" hidden="false" customHeight="false" outlineLevel="0" collapsed="false">
      <c r="A58" s="11"/>
      <c r="B58" s="6"/>
      <c r="C58" s="11"/>
      <c r="D58" s="11"/>
      <c r="E58" s="8" t="str">
        <f aca="false">IF($A58="","",IF($B58&lt;PlanDate,"Late",""))</f>
        <v/>
      </c>
    </row>
    <row r="59" customFormat="false" ht="15" hidden="false" customHeight="false" outlineLevel="0" collapsed="false">
      <c r="A59" s="11"/>
      <c r="B59" s="6"/>
      <c r="C59" s="11"/>
      <c r="D59" s="11"/>
      <c r="E59" s="8" t="str">
        <f aca="false">IF($A59="","",IF($B59&lt;PlanDate,"Late",""))</f>
        <v/>
      </c>
    </row>
    <row r="60" customFormat="false" ht="15" hidden="false" customHeight="false" outlineLevel="0" collapsed="false">
      <c r="A60" s="11"/>
      <c r="B60" s="6"/>
      <c r="C60" s="11"/>
      <c r="D60" s="11"/>
      <c r="E60" s="8" t="str">
        <f aca="false">IF($A60="","",IF($B60&lt;PlanDate,"Late",""))</f>
        <v/>
      </c>
    </row>
    <row r="61" customFormat="false" ht="15" hidden="false" customHeight="false" outlineLevel="0" collapsed="false">
      <c r="A61" s="11"/>
      <c r="B61" s="6"/>
      <c r="C61" s="11"/>
      <c r="D61" s="11"/>
      <c r="E61" s="8" t="str">
        <f aca="false">IF($A61="","",IF($B61&lt;PlanDate,"Late",""))</f>
        <v/>
      </c>
    </row>
    <row r="62" customFormat="false" ht="15" hidden="false" customHeight="false" outlineLevel="0" collapsed="false">
      <c r="A62" s="11"/>
      <c r="B62" s="6"/>
      <c r="C62" s="11"/>
      <c r="D62" s="11"/>
      <c r="E62" s="8" t="str">
        <f aca="false">IF($A62="","",IF($B62&lt;PlanDate,"Late",""))</f>
        <v/>
      </c>
    </row>
    <row r="63" customFormat="false" ht="15" hidden="false" customHeight="false" outlineLevel="0" collapsed="false">
      <c r="A63" s="11"/>
      <c r="B63" s="6"/>
      <c r="C63" s="11"/>
      <c r="D63" s="11"/>
      <c r="E63" s="8" t="str">
        <f aca="false">IF($A63="","",IF($B63&lt;PlanDate,"Late",""))</f>
        <v/>
      </c>
    </row>
    <row r="64" customFormat="false" ht="15" hidden="false" customHeight="false" outlineLevel="0" collapsed="false">
      <c r="A64" s="11"/>
      <c r="B64" s="6"/>
      <c r="C64" s="11"/>
      <c r="D64" s="11"/>
      <c r="E64" s="8" t="str">
        <f aca="false">IF($A64="","",IF($B64&lt;PlanDate,"Late",""))</f>
        <v/>
      </c>
    </row>
    <row r="65" customFormat="false" ht="15" hidden="false" customHeight="false" outlineLevel="0" collapsed="false">
      <c r="A65" s="11"/>
      <c r="B65" s="6"/>
      <c r="C65" s="11"/>
      <c r="D65" s="11"/>
      <c r="E65" s="8" t="str">
        <f aca="false">IF($A65="","",IF($B65&lt;PlanDate,"Late",""))</f>
        <v/>
      </c>
    </row>
    <row r="66" customFormat="false" ht="15" hidden="false" customHeight="false" outlineLevel="0" collapsed="false">
      <c r="A66" s="11"/>
      <c r="B66" s="6"/>
      <c r="C66" s="11"/>
      <c r="D66" s="11"/>
      <c r="E66" s="8" t="str">
        <f aca="false">IF($A66="","",IF($B66&lt;PlanDate,"Late",""))</f>
        <v/>
      </c>
    </row>
    <row r="67" customFormat="false" ht="15" hidden="false" customHeight="false" outlineLevel="0" collapsed="false">
      <c r="A67" s="11"/>
      <c r="B67" s="6"/>
      <c r="C67" s="11"/>
      <c r="D67" s="11"/>
      <c r="E67" s="8" t="str">
        <f aca="false">IF($A67="","",IF($B67&lt;PlanDate,"Late",""))</f>
        <v/>
      </c>
    </row>
    <row r="68" customFormat="false" ht="15" hidden="false" customHeight="false" outlineLevel="0" collapsed="false">
      <c r="A68" s="11"/>
      <c r="B68" s="6"/>
      <c r="C68" s="11"/>
      <c r="D68" s="11"/>
      <c r="E68" s="8" t="str">
        <f aca="false">IF($A68="","",IF($B68&lt;PlanDate,"Late",""))</f>
        <v/>
      </c>
    </row>
    <row r="69" customFormat="false" ht="15" hidden="false" customHeight="false" outlineLevel="0" collapsed="false">
      <c r="A69" s="11"/>
      <c r="B69" s="6"/>
      <c r="C69" s="11"/>
      <c r="D69" s="11"/>
      <c r="E69" s="8" t="str">
        <f aca="false">IF($A69="","",IF($B69&lt;PlanDate,"Late",""))</f>
        <v/>
      </c>
    </row>
    <row r="70" customFormat="false" ht="15" hidden="false" customHeight="false" outlineLevel="0" collapsed="false">
      <c r="A70" s="11"/>
      <c r="B70" s="6"/>
      <c r="C70" s="11"/>
      <c r="D70" s="11"/>
      <c r="E70" s="8" t="str">
        <f aca="false">IF($A70="","",IF($B70&lt;PlanDate,"Late",""))</f>
        <v/>
      </c>
    </row>
    <row r="71" customFormat="false" ht="15" hidden="false" customHeight="false" outlineLevel="0" collapsed="false">
      <c r="A71" s="11"/>
      <c r="B71" s="6"/>
      <c r="C71" s="11"/>
      <c r="D71" s="11"/>
      <c r="E71" s="8" t="str">
        <f aca="false">IF($A71="","",IF($B71&lt;PlanDate,"Late",""))</f>
        <v/>
      </c>
    </row>
    <row r="72" customFormat="false" ht="15" hidden="false" customHeight="false" outlineLevel="0" collapsed="false">
      <c r="A72" s="11"/>
      <c r="B72" s="6"/>
      <c r="C72" s="11"/>
      <c r="D72" s="11"/>
      <c r="E72" s="8" t="str">
        <f aca="false">IF($A72="","",IF($B72&lt;PlanDate,"Late",""))</f>
        <v/>
      </c>
    </row>
    <row r="73" customFormat="false" ht="15" hidden="false" customHeight="false" outlineLevel="0" collapsed="false">
      <c r="A73" s="11"/>
      <c r="B73" s="6"/>
      <c r="C73" s="11"/>
      <c r="D73" s="11"/>
      <c r="E73" s="8" t="str">
        <f aca="false">IF($A73="","",IF($B73&lt;PlanDate,"Late",""))</f>
        <v/>
      </c>
    </row>
    <row r="74" customFormat="false" ht="15" hidden="false" customHeight="false" outlineLevel="0" collapsed="false">
      <c r="A74" s="11"/>
      <c r="B74" s="6"/>
      <c r="C74" s="11"/>
      <c r="D74" s="11"/>
      <c r="E74" s="8" t="str">
        <f aca="false">IF($A74="","",IF($B74&lt;PlanDate,"Late",""))</f>
        <v/>
      </c>
    </row>
    <row r="75" customFormat="false" ht="15" hidden="false" customHeight="false" outlineLevel="0" collapsed="false">
      <c r="A75" s="11"/>
      <c r="B75" s="6"/>
      <c r="C75" s="11"/>
      <c r="D75" s="11"/>
      <c r="E75" s="8" t="str">
        <f aca="false">IF($A75="","",IF($B75&lt;PlanDate,"Late",""))</f>
        <v/>
      </c>
    </row>
    <row r="76" customFormat="false" ht="15" hidden="false" customHeight="false" outlineLevel="0" collapsed="false">
      <c r="A76" s="11"/>
      <c r="B76" s="6"/>
      <c r="C76" s="11"/>
      <c r="D76" s="11"/>
      <c r="E76" s="8" t="str">
        <f aca="false">IF($A76="","",IF($B76&lt;PlanDate,"Late",""))</f>
        <v/>
      </c>
    </row>
    <row r="77" customFormat="false" ht="15" hidden="false" customHeight="false" outlineLevel="0" collapsed="false">
      <c r="A77" s="11"/>
      <c r="B77" s="6"/>
      <c r="C77" s="11"/>
      <c r="D77" s="11"/>
      <c r="E77" s="8" t="str">
        <f aca="false">IF($A77="","",IF($B77&lt;PlanDate,"Late",""))</f>
        <v/>
      </c>
    </row>
    <row r="78" customFormat="false" ht="15" hidden="false" customHeight="false" outlineLevel="0" collapsed="false">
      <c r="A78" s="11"/>
      <c r="B78" s="6"/>
      <c r="C78" s="11"/>
      <c r="D78" s="11"/>
      <c r="E78" s="8" t="str">
        <f aca="false">IF($A78="","",IF($B78&lt;PlanDate,"Late",""))</f>
        <v/>
      </c>
    </row>
    <row r="79" customFormat="false" ht="15" hidden="false" customHeight="false" outlineLevel="0" collapsed="false">
      <c r="A79" s="11"/>
      <c r="B79" s="6"/>
      <c r="C79" s="11"/>
      <c r="D79" s="11"/>
      <c r="E79" s="8" t="str">
        <f aca="false">IF($A79="","",IF($B79&lt;PlanDate,"Late",""))</f>
        <v/>
      </c>
    </row>
    <row r="80" customFormat="false" ht="15" hidden="false" customHeight="false" outlineLevel="0" collapsed="false">
      <c r="A80" s="11"/>
      <c r="B80" s="6"/>
      <c r="C80" s="11"/>
      <c r="D80" s="11"/>
      <c r="E80" s="8" t="str">
        <f aca="false">IF($A80="","",IF($B80&lt;PlanDate,"Late",""))</f>
        <v/>
      </c>
    </row>
    <row r="81" customFormat="false" ht="15" hidden="false" customHeight="false" outlineLevel="0" collapsed="false">
      <c r="A81" s="11"/>
      <c r="B81" s="6"/>
      <c r="C81" s="11"/>
      <c r="D81" s="11"/>
      <c r="E81" s="8" t="str">
        <f aca="false">IF($A81="","",IF($B81&lt;PlanDate,"Late",""))</f>
        <v/>
      </c>
    </row>
    <row r="82" customFormat="false" ht="15" hidden="false" customHeight="false" outlineLevel="0" collapsed="false">
      <c r="A82" s="11"/>
      <c r="B82" s="6"/>
      <c r="C82" s="11"/>
      <c r="D82" s="11"/>
      <c r="E82" s="8" t="str">
        <f aca="false">IF($A82="","",IF($B82&lt;PlanDate,"Late",""))</f>
        <v/>
      </c>
    </row>
    <row r="83" customFormat="false" ht="15" hidden="false" customHeight="false" outlineLevel="0" collapsed="false">
      <c r="A83" s="11"/>
      <c r="B83" s="6"/>
      <c r="C83" s="11"/>
      <c r="D83" s="11"/>
      <c r="E83" s="8" t="str">
        <f aca="false">IF($A83="","",IF($B83&lt;PlanDate,"Late",""))</f>
        <v/>
      </c>
    </row>
    <row r="84" customFormat="false" ht="15" hidden="false" customHeight="false" outlineLevel="0" collapsed="false">
      <c r="A84" s="11"/>
      <c r="B84" s="6"/>
      <c r="C84" s="11"/>
      <c r="D84" s="11"/>
      <c r="E84" s="8" t="str">
        <f aca="false">IF($A84="","",IF($B84&lt;PlanDate,"Late",""))</f>
        <v/>
      </c>
    </row>
    <row r="85" customFormat="false" ht="15" hidden="false" customHeight="false" outlineLevel="0" collapsed="false">
      <c r="A85" s="11"/>
      <c r="B85" s="6"/>
      <c r="C85" s="11"/>
      <c r="D85" s="11"/>
      <c r="E85" s="8" t="str">
        <f aca="false">IF($A85="","",IF($B85&lt;PlanDate,"Late",""))</f>
        <v/>
      </c>
    </row>
    <row r="86" customFormat="false" ht="15" hidden="false" customHeight="false" outlineLevel="0" collapsed="false">
      <c r="A86" s="11"/>
      <c r="B86" s="6"/>
      <c r="C86" s="11"/>
      <c r="D86" s="11"/>
      <c r="E86" s="8" t="str">
        <f aca="false">IF($A86="","",IF($B86&lt;PlanDate,"Late",""))</f>
        <v/>
      </c>
    </row>
    <row r="87" customFormat="false" ht="15" hidden="false" customHeight="false" outlineLevel="0" collapsed="false">
      <c r="A87" s="11"/>
      <c r="B87" s="6"/>
      <c r="C87" s="11"/>
      <c r="D87" s="11"/>
      <c r="E87" s="8" t="str">
        <f aca="false">IF($A87="","",IF($B87&lt;PlanDate,"Late",""))</f>
        <v/>
      </c>
    </row>
    <row r="88" customFormat="false" ht="15" hidden="false" customHeight="false" outlineLevel="0" collapsed="false">
      <c r="A88" s="11"/>
      <c r="B88" s="6"/>
      <c r="C88" s="11"/>
      <c r="D88" s="11"/>
      <c r="E88" s="8" t="str">
        <f aca="false">IF($A88="","",IF($B88&lt;PlanDate,"Late",""))</f>
        <v/>
      </c>
    </row>
    <row r="89" customFormat="false" ht="15" hidden="false" customHeight="false" outlineLevel="0" collapsed="false">
      <c r="A89" s="11"/>
      <c r="B89" s="6"/>
      <c r="C89" s="11"/>
      <c r="D89" s="11"/>
      <c r="E89" s="8" t="str">
        <f aca="false">IF($A89="","",IF($B89&lt;PlanDate,"Late",""))</f>
        <v/>
      </c>
    </row>
    <row r="90" customFormat="false" ht="15" hidden="false" customHeight="false" outlineLevel="0" collapsed="false">
      <c r="A90" s="11"/>
      <c r="B90" s="6"/>
      <c r="C90" s="11"/>
      <c r="D90" s="11"/>
      <c r="E90" s="8" t="str">
        <f aca="false">IF($A90="","",IF($B90&lt;PlanDate,"Late",""))</f>
        <v/>
      </c>
    </row>
    <row r="91" customFormat="false" ht="15" hidden="false" customHeight="false" outlineLevel="0" collapsed="false">
      <c r="A91" s="11"/>
      <c r="B91" s="6"/>
      <c r="C91" s="11"/>
      <c r="D91" s="11"/>
      <c r="E91" s="8" t="str">
        <f aca="false">IF($A91="","",IF($B91&lt;PlanDate,"Late",""))</f>
        <v/>
      </c>
    </row>
    <row r="92" customFormat="false" ht="15" hidden="false" customHeight="false" outlineLevel="0" collapsed="false">
      <c r="A92" s="11"/>
      <c r="B92" s="6"/>
      <c r="C92" s="11"/>
      <c r="D92" s="11"/>
      <c r="E92" s="8" t="str">
        <f aca="false">IF($A92="","",IF($B92&lt;PlanDate,"Late",""))</f>
        <v/>
      </c>
    </row>
    <row r="93" customFormat="false" ht="15" hidden="false" customHeight="false" outlineLevel="0" collapsed="false">
      <c r="A93" s="11"/>
      <c r="B93" s="6"/>
      <c r="C93" s="11"/>
      <c r="D93" s="11"/>
      <c r="E93" s="8" t="str">
        <f aca="false">IF($A93="","",IF($B93&lt;PlanDate,"Late",""))</f>
        <v/>
      </c>
    </row>
    <row r="94" customFormat="false" ht="15" hidden="false" customHeight="false" outlineLevel="0" collapsed="false">
      <c r="A94" s="11"/>
      <c r="B94" s="6"/>
      <c r="C94" s="11"/>
      <c r="D94" s="11"/>
      <c r="E94" s="8" t="str">
        <f aca="false">IF($A94="","",IF($B94&lt;PlanDate,"Late",""))</f>
        <v/>
      </c>
    </row>
    <row r="95" customFormat="false" ht="15" hidden="false" customHeight="false" outlineLevel="0" collapsed="false">
      <c r="A95" s="11"/>
      <c r="B95" s="6"/>
      <c r="C95" s="11"/>
      <c r="D95" s="11"/>
      <c r="E95" s="8" t="str">
        <f aca="false">IF($A95="","",IF($B95&lt;PlanDate,"Late",""))</f>
        <v/>
      </c>
    </row>
    <row r="96" customFormat="false" ht="15" hidden="false" customHeight="false" outlineLevel="0" collapsed="false">
      <c r="A96" s="11"/>
      <c r="B96" s="6"/>
      <c r="C96" s="11"/>
      <c r="D96" s="11"/>
      <c r="E96" s="8" t="str">
        <f aca="false">IF($A96="","",IF($B96&lt;PlanDate,"Late",""))</f>
        <v/>
      </c>
    </row>
    <row r="97" customFormat="false" ht="15" hidden="false" customHeight="false" outlineLevel="0" collapsed="false">
      <c r="A97" s="11"/>
      <c r="B97" s="6"/>
      <c r="C97" s="11"/>
      <c r="D97" s="11"/>
      <c r="E97" s="8" t="str">
        <f aca="false">IF($A97="","",IF($B97&lt;PlanDate,"Late",""))</f>
        <v/>
      </c>
    </row>
    <row r="98" customFormat="false" ht="15" hidden="false" customHeight="false" outlineLevel="0" collapsed="false">
      <c r="A98" s="11"/>
      <c r="B98" s="6"/>
      <c r="C98" s="11"/>
      <c r="D98" s="11"/>
      <c r="E98" s="8" t="str">
        <f aca="false">IF($A98="","",IF($B98&lt;PlanDate,"Late",""))</f>
        <v/>
      </c>
    </row>
    <row r="99" customFormat="false" ht="15" hidden="false" customHeight="false" outlineLevel="0" collapsed="false">
      <c r="A99" s="11"/>
      <c r="B99" s="6"/>
      <c r="C99" s="11"/>
      <c r="D99" s="11"/>
      <c r="E99" s="8" t="str">
        <f aca="false">IF($A99="","",IF($B99&lt;PlanDate,"Late",""))</f>
        <v/>
      </c>
    </row>
    <row r="100" customFormat="false" ht="15" hidden="false" customHeight="false" outlineLevel="0" collapsed="false">
      <c r="A100" s="11"/>
      <c r="B100" s="6"/>
      <c r="C100" s="11"/>
      <c r="D100" s="11"/>
      <c r="E100" s="8" t="str">
        <f aca="false">IF($A100="","",IF($B100&lt;PlanDate,"Late",""))</f>
        <v/>
      </c>
    </row>
    <row r="101" customFormat="false" ht="15" hidden="false" customHeight="false" outlineLevel="0" collapsed="false">
      <c r="A101" s="11"/>
      <c r="B101" s="6"/>
      <c r="C101" s="11"/>
      <c r="D101" s="11"/>
      <c r="E101" s="8" t="str">
        <f aca="false">IF($A101="","",IF($B101&lt;PlanDate,"Late",""))</f>
        <v/>
      </c>
    </row>
    <row r="102" customFormat="false" ht="15" hidden="false" customHeight="false" outlineLevel="0" collapsed="false">
      <c r="A102" s="11"/>
      <c r="B102" s="6"/>
      <c r="C102" s="11"/>
      <c r="D102" s="11"/>
      <c r="E102" s="8" t="str">
        <f aca="false">IF($A102="","",IF($B102&lt;PlanDate,"Late",""))</f>
        <v/>
      </c>
    </row>
    <row r="103" customFormat="false" ht="15" hidden="false" customHeight="false" outlineLevel="0" collapsed="false">
      <c r="A103" s="11"/>
      <c r="B103" s="6"/>
      <c r="C103" s="11"/>
      <c r="D103" s="11"/>
      <c r="E103" s="8" t="str">
        <f aca="false">IF($A103="","",IF($B103&lt;PlanDate,"Late",""))</f>
        <v/>
      </c>
    </row>
    <row r="104" customFormat="false" ht="15" hidden="false" customHeight="false" outlineLevel="0" collapsed="false">
      <c r="A104" s="11"/>
      <c r="B104" s="6"/>
      <c r="C104" s="11"/>
      <c r="D104" s="11"/>
      <c r="E104" s="8" t="str">
        <f aca="false">IF($A104="","",IF($B104&lt;PlanDate,"Late",""))</f>
        <v/>
      </c>
    </row>
    <row r="105" customFormat="false" ht="15" hidden="false" customHeight="false" outlineLevel="0" collapsed="false">
      <c r="A105" s="11"/>
      <c r="B105" s="6"/>
      <c r="C105" s="11"/>
      <c r="D105" s="11"/>
      <c r="E105" s="8" t="str">
        <f aca="false">IF($A105="","",IF($B105&lt;PlanDate,"Late",""))</f>
        <v/>
      </c>
    </row>
    <row r="106" customFormat="false" ht="15" hidden="false" customHeight="false" outlineLevel="0" collapsed="false">
      <c r="A106" s="11"/>
      <c r="B106" s="6"/>
      <c r="C106" s="11"/>
      <c r="D106" s="11"/>
      <c r="E106" s="8" t="str">
        <f aca="false">IF($A106="","",IF($B106&lt;PlanDate,"Late",""))</f>
        <v/>
      </c>
    </row>
    <row r="107" customFormat="false" ht="15" hidden="false" customHeight="false" outlineLevel="0" collapsed="false">
      <c r="A107" s="11"/>
      <c r="B107" s="6"/>
      <c r="C107" s="11"/>
      <c r="D107" s="11"/>
      <c r="E107" s="8" t="str">
        <f aca="false">IF($A107="","",IF($B107&lt;PlanDate,"Late",""))</f>
        <v/>
      </c>
    </row>
    <row r="108" customFormat="false" ht="15" hidden="false" customHeight="false" outlineLevel="0" collapsed="false">
      <c r="A108" s="11"/>
      <c r="B108" s="6"/>
      <c r="C108" s="11"/>
      <c r="D108" s="11"/>
      <c r="E108" s="8" t="str">
        <f aca="false">IF($A108="","",IF($B108&lt;PlanDate,"Late",""))</f>
        <v/>
      </c>
    </row>
    <row r="109" customFormat="false" ht="15" hidden="false" customHeight="false" outlineLevel="0" collapsed="false">
      <c r="A109" s="11"/>
      <c r="B109" s="6"/>
      <c r="C109" s="11"/>
      <c r="D109" s="11"/>
      <c r="E109" s="8" t="str">
        <f aca="false">IF($A109="","",IF($B109&lt;PlanDate,"Late",""))</f>
        <v/>
      </c>
    </row>
    <row r="110" customFormat="false" ht="15" hidden="false" customHeight="false" outlineLevel="0" collapsed="false">
      <c r="A110" s="11"/>
      <c r="B110" s="6"/>
      <c r="C110" s="11"/>
      <c r="D110" s="11"/>
      <c r="E110" s="8" t="str">
        <f aca="false">IF($A110="","",IF($B110&lt;PlanDate,"Late",""))</f>
        <v/>
      </c>
    </row>
    <row r="111" customFormat="false" ht="15" hidden="false" customHeight="false" outlineLevel="0" collapsed="false">
      <c r="A111" s="11"/>
      <c r="B111" s="6"/>
      <c r="C111" s="11"/>
      <c r="D111" s="11"/>
      <c r="E111" s="8" t="str">
        <f aca="false">IF($A111="","",IF($B111&lt;PlanDate,"Late",""))</f>
        <v/>
      </c>
    </row>
    <row r="112" customFormat="false" ht="15" hidden="false" customHeight="false" outlineLevel="0" collapsed="false">
      <c r="A112" s="11"/>
      <c r="B112" s="6"/>
      <c r="C112" s="11"/>
      <c r="D112" s="11"/>
      <c r="E112" s="8" t="str">
        <f aca="false">IF($A112="","",IF($B112&lt;PlanDate,"Late",""))</f>
        <v/>
      </c>
    </row>
    <row r="113" customFormat="false" ht="15" hidden="false" customHeight="false" outlineLevel="0" collapsed="false">
      <c r="A113" s="11"/>
      <c r="B113" s="6"/>
      <c r="C113" s="11"/>
      <c r="D113" s="11"/>
      <c r="E113" s="8" t="str">
        <f aca="false">IF($A113="","",IF($B113&lt;PlanDate,"Late",""))</f>
        <v/>
      </c>
    </row>
    <row r="114" customFormat="false" ht="15" hidden="false" customHeight="false" outlineLevel="0" collapsed="false">
      <c r="A114" s="11"/>
      <c r="B114" s="6"/>
      <c r="C114" s="11"/>
      <c r="D114" s="11"/>
      <c r="E114" s="8" t="str">
        <f aca="false">IF($A114="","",IF($B114&lt;PlanDate,"Late",""))</f>
        <v/>
      </c>
    </row>
    <row r="115" customFormat="false" ht="15" hidden="false" customHeight="false" outlineLevel="0" collapsed="false">
      <c r="A115" s="11"/>
      <c r="B115" s="6"/>
      <c r="C115" s="11"/>
      <c r="D115" s="11"/>
      <c r="E115" s="8" t="str">
        <f aca="false">IF($A115="","",IF($B115&lt;PlanDate,"Late",""))</f>
        <v/>
      </c>
    </row>
    <row r="116" customFormat="false" ht="15" hidden="false" customHeight="false" outlineLevel="0" collapsed="false">
      <c r="A116" s="11"/>
      <c r="B116" s="6"/>
      <c r="C116" s="11"/>
      <c r="D116" s="11"/>
      <c r="E116" s="8" t="str">
        <f aca="false">IF($A116="","",IF($B116&lt;PlanDate,"Late",""))</f>
        <v/>
      </c>
    </row>
    <row r="117" customFormat="false" ht="15" hidden="false" customHeight="false" outlineLevel="0" collapsed="false">
      <c r="A117" s="11"/>
      <c r="B117" s="6"/>
      <c r="C117" s="11"/>
      <c r="D117" s="11"/>
      <c r="E117" s="8" t="str">
        <f aca="false">IF($A117="","",IF($B117&lt;PlanDate,"Late",""))</f>
        <v/>
      </c>
    </row>
    <row r="118" customFormat="false" ht="15" hidden="false" customHeight="false" outlineLevel="0" collapsed="false">
      <c r="A118" s="11"/>
      <c r="B118" s="6"/>
      <c r="C118" s="11"/>
      <c r="D118" s="11"/>
      <c r="E118" s="8" t="str">
        <f aca="false">IF($A118="","",IF($B118&lt;PlanDate,"Late",""))</f>
        <v/>
      </c>
    </row>
    <row r="119" customFormat="false" ht="15" hidden="false" customHeight="false" outlineLevel="0" collapsed="false">
      <c r="A119" s="11"/>
      <c r="B119" s="6"/>
      <c r="C119" s="11"/>
      <c r="D119" s="11"/>
      <c r="E119" s="8" t="str">
        <f aca="false">IF($A119="","",IF($B119&lt;PlanDate,"Late",""))</f>
        <v/>
      </c>
    </row>
    <row r="120" customFormat="false" ht="15" hidden="false" customHeight="false" outlineLevel="0" collapsed="false">
      <c r="A120" s="11"/>
      <c r="B120" s="6"/>
      <c r="C120" s="11"/>
      <c r="D120" s="11"/>
      <c r="E120" s="8" t="str">
        <f aca="false">IF($A120="","",IF($B120&lt;PlanDate,"Late",""))</f>
        <v/>
      </c>
    </row>
    <row r="121" customFormat="false" ht="15" hidden="false" customHeight="false" outlineLevel="0" collapsed="false">
      <c r="A121" s="11"/>
      <c r="B121" s="6"/>
      <c r="C121" s="11"/>
      <c r="D121" s="11"/>
      <c r="E121" s="8" t="str">
        <f aca="false">IF($A121="","",IF($B121&lt;PlanDate,"Late",""))</f>
        <v/>
      </c>
    </row>
    <row r="122" customFormat="false" ht="15" hidden="false" customHeight="false" outlineLevel="0" collapsed="false">
      <c r="A122" s="11"/>
      <c r="B122" s="6"/>
      <c r="C122" s="11"/>
      <c r="D122" s="11"/>
      <c r="E122" s="8" t="str">
        <f aca="false">IF($A122="","",IF($B122&lt;PlanDate,"Late",""))</f>
        <v/>
      </c>
    </row>
    <row r="123" customFormat="false" ht="15" hidden="false" customHeight="false" outlineLevel="0" collapsed="false">
      <c r="A123" s="11"/>
      <c r="B123" s="6"/>
      <c r="C123" s="11"/>
      <c r="D123" s="11"/>
      <c r="E123" s="8" t="str">
        <f aca="false">IF($A123="","",IF($B123&lt;PlanDate,"Late",""))</f>
        <v/>
      </c>
    </row>
    <row r="124" customFormat="false" ht="15" hidden="false" customHeight="false" outlineLevel="0" collapsed="false">
      <c r="A124" s="11"/>
      <c r="B124" s="6"/>
      <c r="C124" s="11"/>
      <c r="D124" s="11"/>
      <c r="E124" s="8" t="str">
        <f aca="false">IF($A124="","",IF($B124&lt;PlanDate,"Late",""))</f>
        <v/>
      </c>
    </row>
    <row r="125" customFormat="false" ht="15" hidden="false" customHeight="false" outlineLevel="0" collapsed="false">
      <c r="A125" s="11"/>
      <c r="B125" s="6"/>
      <c r="C125" s="11"/>
      <c r="D125" s="11"/>
      <c r="E125" s="8" t="str">
        <f aca="false">IF($A125="","",IF($B125&lt;PlanDate,"Late",""))</f>
        <v/>
      </c>
    </row>
    <row r="126" customFormat="false" ht="15" hidden="false" customHeight="false" outlineLevel="0" collapsed="false">
      <c r="A126" s="11"/>
      <c r="B126" s="6"/>
      <c r="C126" s="11"/>
      <c r="D126" s="11"/>
      <c r="E126" s="8" t="str">
        <f aca="false">IF($A126="","",IF($B126&lt;PlanDate,"Late",""))</f>
        <v/>
      </c>
    </row>
    <row r="127" customFormat="false" ht="15" hidden="false" customHeight="false" outlineLevel="0" collapsed="false">
      <c r="A127" s="11"/>
      <c r="B127" s="6"/>
      <c r="C127" s="11"/>
      <c r="D127" s="11"/>
      <c r="E127" s="8" t="str">
        <f aca="false">IF($A127="","",IF($B127&lt;PlanDate,"Late",""))</f>
        <v/>
      </c>
    </row>
    <row r="128" customFormat="false" ht="15" hidden="false" customHeight="false" outlineLevel="0" collapsed="false">
      <c r="A128" s="11"/>
      <c r="B128" s="6"/>
      <c r="C128" s="11"/>
      <c r="D128" s="11"/>
      <c r="E128" s="8" t="str">
        <f aca="false">IF($A128="","",IF($B128&lt;PlanDate,"Late",""))</f>
        <v/>
      </c>
    </row>
    <row r="129" customFormat="false" ht="15" hidden="false" customHeight="false" outlineLevel="0" collapsed="false">
      <c r="A129" s="11"/>
      <c r="B129" s="6"/>
      <c r="C129" s="11"/>
      <c r="D129" s="11"/>
      <c r="E129" s="8" t="str">
        <f aca="false">IF($A129="","",IF($B129&lt;PlanDate,"Late",""))</f>
        <v/>
      </c>
    </row>
    <row r="130" customFormat="false" ht="15" hidden="false" customHeight="false" outlineLevel="0" collapsed="false">
      <c r="A130" s="11"/>
      <c r="B130" s="6"/>
      <c r="C130" s="11"/>
      <c r="D130" s="11"/>
      <c r="E130" s="8" t="str">
        <f aca="false">IF($A130="","",IF($B130&lt;PlanDate,"Late",""))</f>
        <v/>
      </c>
    </row>
    <row r="131" customFormat="false" ht="15" hidden="false" customHeight="false" outlineLevel="0" collapsed="false">
      <c r="A131" s="11"/>
      <c r="B131" s="6"/>
      <c r="C131" s="11"/>
      <c r="D131" s="11"/>
      <c r="E131" s="8" t="str">
        <f aca="false">IF($A131="","",IF($B131&lt;PlanDate,"Late",""))</f>
        <v/>
      </c>
    </row>
    <row r="132" customFormat="false" ht="15" hidden="false" customHeight="false" outlineLevel="0" collapsed="false">
      <c r="A132" s="11"/>
      <c r="B132" s="6"/>
      <c r="C132" s="11"/>
      <c r="D132" s="11"/>
      <c r="E132" s="8" t="str">
        <f aca="false">IF($A132="","",IF($B132&lt;PlanDate,"Late",""))</f>
        <v/>
      </c>
    </row>
    <row r="133" customFormat="false" ht="15" hidden="false" customHeight="false" outlineLevel="0" collapsed="false">
      <c r="A133" s="11"/>
      <c r="B133" s="6"/>
      <c r="C133" s="11"/>
      <c r="D133" s="11"/>
      <c r="E133" s="8" t="str">
        <f aca="false">IF($A133="","",IF($B133&lt;PlanDate,"Late",""))</f>
        <v/>
      </c>
    </row>
    <row r="134" customFormat="false" ht="15" hidden="false" customHeight="false" outlineLevel="0" collapsed="false">
      <c r="A134" s="11"/>
      <c r="B134" s="6"/>
      <c r="C134" s="11"/>
      <c r="D134" s="11"/>
      <c r="E134" s="8" t="str">
        <f aca="false">IF($A134="","",IF($B134&lt;PlanDate,"Late",""))</f>
        <v/>
      </c>
    </row>
    <row r="135" customFormat="false" ht="15" hidden="false" customHeight="false" outlineLevel="0" collapsed="false">
      <c r="A135" s="11"/>
      <c r="B135" s="6"/>
      <c r="C135" s="11"/>
      <c r="D135" s="11"/>
      <c r="E135" s="8" t="str">
        <f aca="false">IF($A135="","",IF($B135&lt;PlanDate,"Late",""))</f>
        <v/>
      </c>
    </row>
    <row r="136" customFormat="false" ht="15" hidden="false" customHeight="false" outlineLevel="0" collapsed="false">
      <c r="A136" s="11"/>
      <c r="B136" s="6"/>
      <c r="C136" s="11"/>
      <c r="D136" s="11"/>
      <c r="E136" s="8" t="str">
        <f aca="false">IF($A136="","",IF($B136&lt;PlanDate,"Late",""))</f>
        <v/>
      </c>
    </row>
    <row r="137" customFormat="false" ht="15" hidden="false" customHeight="false" outlineLevel="0" collapsed="false">
      <c r="A137" s="11"/>
      <c r="B137" s="6"/>
      <c r="C137" s="11"/>
      <c r="D137" s="11"/>
      <c r="E137" s="8" t="str">
        <f aca="false">IF($A137="","",IF($B137&lt;PlanDate,"Late",""))</f>
        <v/>
      </c>
    </row>
    <row r="138" customFormat="false" ht="15" hidden="false" customHeight="false" outlineLevel="0" collapsed="false">
      <c r="A138" s="11"/>
      <c r="B138" s="6"/>
      <c r="C138" s="11"/>
      <c r="D138" s="11"/>
      <c r="E138" s="8" t="str">
        <f aca="false">IF($A138="","",IF($B138&lt;PlanDate,"Late",""))</f>
        <v/>
      </c>
    </row>
    <row r="139" customFormat="false" ht="15" hidden="false" customHeight="false" outlineLevel="0" collapsed="false">
      <c r="A139" s="11"/>
      <c r="B139" s="6"/>
      <c r="C139" s="11"/>
      <c r="D139" s="11"/>
      <c r="E139" s="8" t="str">
        <f aca="false">IF($A139="","",IF($B139&lt;PlanDate,"Late",""))</f>
        <v/>
      </c>
    </row>
    <row r="140" customFormat="false" ht="15" hidden="false" customHeight="false" outlineLevel="0" collapsed="false">
      <c r="A140" s="11"/>
      <c r="B140" s="6"/>
      <c r="C140" s="11"/>
      <c r="D140" s="11"/>
      <c r="E140" s="8" t="str">
        <f aca="false">IF($A140="","",IF($B140&lt;PlanDate,"Late",""))</f>
        <v/>
      </c>
    </row>
    <row r="141" customFormat="false" ht="15" hidden="false" customHeight="false" outlineLevel="0" collapsed="false">
      <c r="A141" s="11"/>
      <c r="B141" s="6"/>
      <c r="C141" s="11"/>
      <c r="D141" s="11"/>
      <c r="E141" s="8" t="str">
        <f aca="false">IF($A141="","",IF($B141&lt;PlanDate,"Late",""))</f>
        <v/>
      </c>
    </row>
    <row r="142" customFormat="false" ht="15" hidden="false" customHeight="false" outlineLevel="0" collapsed="false">
      <c r="A142" s="11"/>
      <c r="B142" s="6"/>
      <c r="C142" s="11"/>
      <c r="D142" s="11"/>
      <c r="E142" s="8" t="str">
        <f aca="false">IF($A142="","",IF($B142&lt;PlanDate,"Late",""))</f>
        <v/>
      </c>
    </row>
    <row r="143" customFormat="false" ht="15" hidden="false" customHeight="false" outlineLevel="0" collapsed="false">
      <c r="A143" s="11"/>
      <c r="B143" s="6"/>
      <c r="C143" s="11"/>
      <c r="D143" s="11"/>
      <c r="E143" s="8" t="str">
        <f aca="false">IF($A143="","",IF($B143&lt;PlanDate,"Late",""))</f>
        <v/>
      </c>
    </row>
    <row r="144" customFormat="false" ht="15" hidden="false" customHeight="false" outlineLevel="0" collapsed="false">
      <c r="A144" s="11"/>
      <c r="B144" s="6"/>
      <c r="C144" s="11"/>
      <c r="D144" s="11"/>
      <c r="E144" s="8" t="str">
        <f aca="false">IF($A144="","",IF($B144&lt;PlanDate,"Late",""))</f>
        <v/>
      </c>
    </row>
    <row r="145" customFormat="false" ht="15" hidden="false" customHeight="false" outlineLevel="0" collapsed="false">
      <c r="A145" s="11"/>
      <c r="B145" s="6"/>
      <c r="C145" s="11"/>
      <c r="D145" s="11"/>
      <c r="E145" s="8" t="str">
        <f aca="false">IF($A145="","",IF($B145&lt;PlanDate,"Late",""))</f>
        <v/>
      </c>
    </row>
    <row r="146" customFormat="false" ht="15" hidden="false" customHeight="false" outlineLevel="0" collapsed="false">
      <c r="A146" s="11"/>
      <c r="B146" s="6"/>
      <c r="C146" s="11"/>
      <c r="D146" s="11"/>
      <c r="E146" s="8" t="str">
        <f aca="false">IF($A146="","",IF($B146&lt;PlanDate,"Late",""))</f>
        <v/>
      </c>
    </row>
    <row r="147" customFormat="false" ht="15" hidden="false" customHeight="false" outlineLevel="0" collapsed="false">
      <c r="A147" s="11"/>
      <c r="B147" s="6"/>
      <c r="C147" s="11"/>
      <c r="D147" s="11"/>
      <c r="E147" s="8" t="str">
        <f aca="false">IF($A147="","",IF($B147&lt;PlanDate,"Late",""))</f>
        <v/>
      </c>
    </row>
    <row r="148" customFormat="false" ht="15" hidden="false" customHeight="false" outlineLevel="0" collapsed="false">
      <c r="A148" s="11"/>
      <c r="B148" s="6"/>
      <c r="C148" s="11"/>
      <c r="D148" s="11"/>
      <c r="E148" s="8" t="str">
        <f aca="false">IF($A148="","",IF($B148&lt;PlanDate,"Late",""))</f>
        <v/>
      </c>
    </row>
    <row r="149" customFormat="false" ht="15" hidden="false" customHeight="false" outlineLevel="0" collapsed="false">
      <c r="A149" s="11"/>
      <c r="B149" s="6"/>
      <c r="C149" s="11"/>
      <c r="D149" s="11"/>
      <c r="E149" s="8" t="str">
        <f aca="false">IF($A149="","",IF($B149&lt;PlanDate,"Late",""))</f>
        <v/>
      </c>
    </row>
    <row r="150" customFormat="false" ht="15" hidden="false" customHeight="false" outlineLevel="0" collapsed="false">
      <c r="A150" s="11"/>
      <c r="B150" s="6"/>
      <c r="C150" s="11"/>
      <c r="D150" s="11"/>
      <c r="E150" s="8" t="str">
        <f aca="false">IF($A150="","",IF($B150&lt;PlanDate,"Late",""))</f>
        <v/>
      </c>
    </row>
    <row r="151" customFormat="false" ht="15" hidden="false" customHeight="false" outlineLevel="0" collapsed="false">
      <c r="A151" s="11"/>
      <c r="B151" s="6"/>
      <c r="C151" s="11"/>
      <c r="D151" s="11"/>
      <c r="E151" s="8" t="str">
        <f aca="false">IF($A151="","",IF($B151&lt;PlanDate,"Late",""))</f>
        <v/>
      </c>
    </row>
    <row r="152" customFormat="false" ht="15" hidden="false" customHeight="false" outlineLevel="0" collapsed="false">
      <c r="A152" s="11"/>
      <c r="B152" s="6"/>
      <c r="C152" s="11"/>
      <c r="D152" s="11"/>
      <c r="E152" s="8" t="str">
        <f aca="false">IF($A152="","",IF($B152&lt;PlanDate,"Late",""))</f>
        <v/>
      </c>
    </row>
    <row r="153" customFormat="false" ht="15" hidden="false" customHeight="false" outlineLevel="0" collapsed="false">
      <c r="A153" s="11"/>
      <c r="B153" s="6"/>
      <c r="C153" s="11"/>
      <c r="D153" s="11"/>
      <c r="E153" s="8" t="str">
        <f aca="false">IF($A153="","",IF($B153&lt;PlanDate,"Late",""))</f>
        <v/>
      </c>
    </row>
    <row r="154" customFormat="false" ht="15" hidden="false" customHeight="false" outlineLevel="0" collapsed="false">
      <c r="A154" s="11"/>
      <c r="B154" s="6"/>
      <c r="C154" s="11"/>
      <c r="D154" s="11"/>
      <c r="E154" s="8" t="str">
        <f aca="false">IF($A154="","",IF($B154&lt;PlanDate,"Late",""))</f>
        <v/>
      </c>
    </row>
    <row r="155" customFormat="false" ht="15" hidden="false" customHeight="false" outlineLevel="0" collapsed="false">
      <c r="A155" s="11"/>
      <c r="B155" s="6"/>
      <c r="C155" s="11"/>
      <c r="D155" s="11"/>
      <c r="E155" s="8" t="str">
        <f aca="false">IF($A155="","",IF($B155&lt;PlanDate,"Late",""))</f>
        <v/>
      </c>
    </row>
    <row r="156" customFormat="false" ht="15" hidden="false" customHeight="false" outlineLevel="0" collapsed="false">
      <c r="A156" s="11"/>
      <c r="B156" s="6"/>
      <c r="C156" s="11"/>
      <c r="D156" s="11"/>
      <c r="E156" s="8" t="str">
        <f aca="false">IF($A156="","",IF($B156&lt;PlanDate,"Late",""))</f>
        <v/>
      </c>
    </row>
    <row r="157" customFormat="false" ht="15" hidden="false" customHeight="false" outlineLevel="0" collapsed="false">
      <c r="A157" s="11"/>
      <c r="B157" s="6"/>
      <c r="C157" s="11"/>
      <c r="D157" s="11"/>
      <c r="E157" s="8" t="str">
        <f aca="false">IF($A157="","",IF($B157&lt;PlanDate,"Late",""))</f>
        <v/>
      </c>
    </row>
    <row r="158" customFormat="false" ht="15" hidden="false" customHeight="false" outlineLevel="0" collapsed="false">
      <c r="A158" s="11"/>
      <c r="B158" s="6"/>
      <c r="C158" s="11"/>
      <c r="D158" s="11"/>
      <c r="E158" s="8" t="str">
        <f aca="false">IF($A158="","",IF($B158&lt;PlanDate,"Late",""))</f>
        <v/>
      </c>
    </row>
    <row r="159" customFormat="false" ht="15" hidden="false" customHeight="false" outlineLevel="0" collapsed="false">
      <c r="A159" s="11"/>
      <c r="B159" s="6"/>
      <c r="C159" s="11"/>
      <c r="D159" s="11"/>
      <c r="E159" s="8" t="str">
        <f aca="false">IF($A159="","",IF($B159&lt;PlanDate,"Late",""))</f>
        <v/>
      </c>
    </row>
    <row r="160" customFormat="false" ht="15" hidden="false" customHeight="false" outlineLevel="0" collapsed="false">
      <c r="A160" s="11"/>
      <c r="B160" s="6"/>
      <c r="C160" s="11"/>
      <c r="D160" s="11"/>
      <c r="E160" s="8" t="str">
        <f aca="false">IF($A160="","",IF($B160&lt;PlanDate,"Late",""))</f>
        <v/>
      </c>
    </row>
    <row r="161" customFormat="false" ht="15" hidden="false" customHeight="false" outlineLevel="0" collapsed="false">
      <c r="A161" s="11"/>
      <c r="B161" s="6"/>
      <c r="C161" s="11"/>
      <c r="D161" s="11"/>
      <c r="E161" s="8" t="str">
        <f aca="false">IF($A161="","",IF($B161&lt;PlanDate,"Late",""))</f>
        <v/>
      </c>
    </row>
    <row r="162" customFormat="false" ht="15" hidden="false" customHeight="false" outlineLevel="0" collapsed="false">
      <c r="A162" s="11"/>
      <c r="B162" s="6"/>
      <c r="C162" s="11"/>
      <c r="D162" s="11"/>
      <c r="E162" s="8" t="str">
        <f aca="false">IF($A162="","",IF($B162&lt;PlanDate,"Late",""))</f>
        <v/>
      </c>
    </row>
    <row r="163" customFormat="false" ht="15" hidden="false" customHeight="false" outlineLevel="0" collapsed="false">
      <c r="A163" s="11"/>
      <c r="B163" s="6"/>
      <c r="C163" s="11"/>
      <c r="D163" s="11"/>
      <c r="E163" s="8" t="str">
        <f aca="false">IF($A163="","",IF($B163&lt;PlanDate,"Late",""))</f>
        <v/>
      </c>
    </row>
    <row r="164" customFormat="false" ht="15" hidden="false" customHeight="false" outlineLevel="0" collapsed="false">
      <c r="A164" s="11"/>
      <c r="B164" s="6"/>
      <c r="C164" s="11"/>
      <c r="D164" s="11"/>
      <c r="E164" s="8" t="str">
        <f aca="false">IF($A164="","",IF($B164&lt;PlanDate,"Late",""))</f>
        <v/>
      </c>
    </row>
    <row r="165" customFormat="false" ht="15" hidden="false" customHeight="false" outlineLevel="0" collapsed="false">
      <c r="A165" s="11"/>
      <c r="B165" s="6"/>
      <c r="C165" s="11"/>
      <c r="D165" s="11"/>
      <c r="E165" s="8" t="str">
        <f aca="false">IF($A165="","",IF($B165&lt;PlanDate,"Late",""))</f>
        <v/>
      </c>
    </row>
    <row r="166" customFormat="false" ht="15" hidden="false" customHeight="false" outlineLevel="0" collapsed="false">
      <c r="A166" s="11"/>
      <c r="B166" s="6"/>
      <c r="C166" s="11"/>
      <c r="D166" s="11"/>
      <c r="E166" s="8" t="str">
        <f aca="false">IF($A166="","",IF($B166&lt;PlanDate,"Late",""))</f>
        <v/>
      </c>
    </row>
    <row r="167" customFormat="false" ht="15" hidden="false" customHeight="false" outlineLevel="0" collapsed="false">
      <c r="A167" s="11"/>
      <c r="B167" s="6"/>
      <c r="C167" s="11"/>
      <c r="D167" s="11"/>
      <c r="E167" s="8" t="str">
        <f aca="false">IF($A167="","",IF($B167&lt;PlanDate,"Late",""))</f>
        <v/>
      </c>
    </row>
    <row r="168" customFormat="false" ht="15" hidden="false" customHeight="false" outlineLevel="0" collapsed="false">
      <c r="A168" s="11"/>
      <c r="B168" s="6"/>
      <c r="C168" s="11"/>
      <c r="D168" s="11"/>
      <c r="E168" s="8" t="str">
        <f aca="false">IF($A168="","",IF($B168&lt;PlanDate,"Late",""))</f>
        <v/>
      </c>
    </row>
    <row r="169" customFormat="false" ht="15" hidden="false" customHeight="false" outlineLevel="0" collapsed="false">
      <c r="A169" s="11"/>
      <c r="B169" s="6"/>
      <c r="C169" s="11"/>
      <c r="D169" s="11"/>
      <c r="E169" s="8" t="str">
        <f aca="false">IF($A169="","",IF($B169&lt;PlanDate,"Late",""))</f>
        <v/>
      </c>
    </row>
    <row r="170" customFormat="false" ht="15" hidden="false" customHeight="false" outlineLevel="0" collapsed="false">
      <c r="A170" s="11"/>
      <c r="B170" s="6"/>
      <c r="C170" s="11"/>
      <c r="D170" s="11"/>
      <c r="E170" s="8" t="str">
        <f aca="false">IF($A170="","",IF($B170&lt;PlanDate,"Late",""))</f>
        <v/>
      </c>
    </row>
    <row r="171" customFormat="false" ht="15" hidden="false" customHeight="false" outlineLevel="0" collapsed="false">
      <c r="A171" s="11"/>
      <c r="B171" s="6"/>
      <c r="C171" s="11"/>
      <c r="D171" s="11"/>
      <c r="E171" s="8" t="str">
        <f aca="false">IF($A171="","",IF($B171&lt;PlanDate,"Late",""))</f>
        <v/>
      </c>
    </row>
    <row r="172" customFormat="false" ht="15" hidden="false" customHeight="false" outlineLevel="0" collapsed="false">
      <c r="A172" s="11"/>
      <c r="B172" s="6"/>
      <c r="C172" s="11"/>
      <c r="D172" s="11"/>
      <c r="E172" s="8" t="str">
        <f aca="false">IF($A172="","",IF($B172&lt;PlanDate,"Late",""))</f>
        <v/>
      </c>
    </row>
    <row r="173" customFormat="false" ht="15" hidden="false" customHeight="false" outlineLevel="0" collapsed="false">
      <c r="A173" s="11"/>
      <c r="B173" s="6"/>
      <c r="C173" s="11"/>
      <c r="D173" s="11"/>
      <c r="E173" s="8" t="str">
        <f aca="false">IF($A173="","",IF($B173&lt;PlanDate,"Late",""))</f>
        <v/>
      </c>
    </row>
    <row r="174" customFormat="false" ht="15" hidden="false" customHeight="false" outlineLevel="0" collapsed="false">
      <c r="A174" s="11"/>
      <c r="B174" s="6"/>
      <c r="C174" s="11"/>
      <c r="D174" s="11"/>
      <c r="E174" s="8" t="str">
        <f aca="false">IF($A174="","",IF($B174&lt;PlanDate,"Late",""))</f>
        <v/>
      </c>
    </row>
    <row r="175" customFormat="false" ht="15" hidden="false" customHeight="false" outlineLevel="0" collapsed="false">
      <c r="A175" s="11"/>
      <c r="B175" s="6"/>
      <c r="C175" s="11"/>
      <c r="D175" s="11"/>
      <c r="E175" s="8" t="str">
        <f aca="false">IF($A175="","",IF($B175&lt;PlanDate,"Late",""))</f>
        <v/>
      </c>
    </row>
    <row r="176" customFormat="false" ht="15" hidden="false" customHeight="false" outlineLevel="0" collapsed="false">
      <c r="A176" s="11"/>
      <c r="B176" s="6"/>
      <c r="C176" s="11"/>
      <c r="D176" s="11"/>
      <c r="E176" s="8" t="str">
        <f aca="false">IF($A176="","",IF($B176&lt;PlanDate,"Late",""))</f>
        <v/>
      </c>
    </row>
    <row r="177" customFormat="false" ht="15" hidden="false" customHeight="false" outlineLevel="0" collapsed="false">
      <c r="A177" s="11"/>
      <c r="B177" s="6"/>
      <c r="C177" s="11"/>
      <c r="D177" s="11"/>
      <c r="E177" s="8" t="str">
        <f aca="false">IF($A177="","",IF($B177&lt;PlanDate,"Late",""))</f>
        <v/>
      </c>
    </row>
    <row r="178" customFormat="false" ht="15" hidden="false" customHeight="false" outlineLevel="0" collapsed="false">
      <c r="A178" s="11"/>
      <c r="B178" s="6"/>
      <c r="C178" s="11"/>
      <c r="D178" s="11"/>
      <c r="E178" s="8" t="str">
        <f aca="false">IF($A178="","",IF($B178&lt;PlanDate,"Late",""))</f>
        <v/>
      </c>
    </row>
    <row r="179" customFormat="false" ht="15" hidden="false" customHeight="false" outlineLevel="0" collapsed="false">
      <c r="A179" s="11"/>
      <c r="B179" s="6"/>
      <c r="C179" s="11"/>
      <c r="D179" s="11"/>
      <c r="E179" s="8" t="str">
        <f aca="false">IF($A179="","",IF($B179&lt;PlanDate,"Late",""))</f>
        <v/>
      </c>
    </row>
    <row r="180" customFormat="false" ht="15" hidden="false" customHeight="false" outlineLevel="0" collapsed="false">
      <c r="A180" s="11"/>
      <c r="B180" s="6"/>
      <c r="C180" s="11"/>
      <c r="D180" s="11"/>
      <c r="E180" s="8" t="str">
        <f aca="false">IF($A180="","",IF($B180&lt;PlanDate,"Late",""))</f>
        <v/>
      </c>
    </row>
    <row r="181" customFormat="false" ht="15" hidden="false" customHeight="false" outlineLevel="0" collapsed="false">
      <c r="A181" s="11"/>
      <c r="B181" s="6"/>
      <c r="C181" s="11"/>
      <c r="D181" s="11"/>
      <c r="E181" s="8" t="str">
        <f aca="false">IF($A181="","",IF($B181&lt;PlanDate,"Late",""))</f>
        <v/>
      </c>
    </row>
    <row r="182" customFormat="false" ht="15" hidden="false" customHeight="false" outlineLevel="0" collapsed="false">
      <c r="A182" s="11"/>
      <c r="B182" s="6"/>
      <c r="C182" s="11"/>
      <c r="D182" s="11"/>
      <c r="E182" s="8" t="str">
        <f aca="false">IF($A182="","",IF($B182&lt;PlanDate,"Late",""))</f>
        <v/>
      </c>
    </row>
    <row r="183" customFormat="false" ht="15" hidden="false" customHeight="false" outlineLevel="0" collapsed="false">
      <c r="A183" s="11"/>
      <c r="B183" s="6"/>
      <c r="C183" s="11"/>
      <c r="D183" s="11"/>
      <c r="E183" s="8" t="str">
        <f aca="false">IF($A183="","",IF($B183&lt;PlanDate,"Late",""))</f>
        <v/>
      </c>
    </row>
    <row r="184" customFormat="false" ht="15" hidden="false" customHeight="false" outlineLevel="0" collapsed="false">
      <c r="A184" s="11"/>
      <c r="B184" s="6"/>
      <c r="C184" s="11"/>
      <c r="D184" s="11"/>
      <c r="E184" s="8" t="str">
        <f aca="false">IF($A184="","",IF($B184&lt;PlanDate,"Late",""))</f>
        <v/>
      </c>
    </row>
    <row r="185" customFormat="false" ht="15" hidden="false" customHeight="false" outlineLevel="0" collapsed="false">
      <c r="A185" s="11"/>
      <c r="B185" s="6"/>
      <c r="C185" s="11"/>
      <c r="D185" s="11"/>
      <c r="E185" s="8" t="str">
        <f aca="false">IF($A185="","",IF($B185&lt;PlanDate,"Late",""))</f>
        <v/>
      </c>
    </row>
    <row r="186" customFormat="false" ht="15" hidden="false" customHeight="false" outlineLevel="0" collapsed="false">
      <c r="A186" s="11"/>
      <c r="B186" s="6"/>
      <c r="C186" s="11"/>
      <c r="D186" s="11"/>
      <c r="E186" s="8" t="str">
        <f aca="false">IF($A186="","",IF($B186&lt;PlanDate,"Late",""))</f>
        <v/>
      </c>
    </row>
    <row r="187" customFormat="false" ht="15" hidden="false" customHeight="false" outlineLevel="0" collapsed="false">
      <c r="A187" s="11"/>
      <c r="B187" s="6"/>
      <c r="C187" s="11"/>
      <c r="D187" s="11"/>
      <c r="E187" s="8" t="str">
        <f aca="false">IF($A187="","",IF($B187&lt;PlanDate,"Late",""))</f>
        <v/>
      </c>
    </row>
    <row r="188" customFormat="false" ht="15" hidden="false" customHeight="false" outlineLevel="0" collapsed="false">
      <c r="A188" s="11"/>
      <c r="B188" s="6"/>
      <c r="C188" s="11"/>
      <c r="D188" s="11"/>
      <c r="E188" s="8" t="str">
        <f aca="false">IF($A188="","",IF($B188&lt;PlanDate,"Late",""))</f>
        <v/>
      </c>
    </row>
    <row r="189" customFormat="false" ht="15" hidden="false" customHeight="false" outlineLevel="0" collapsed="false">
      <c r="A189" s="11"/>
      <c r="B189" s="6"/>
      <c r="C189" s="11"/>
      <c r="D189" s="11"/>
      <c r="E189" s="8" t="str">
        <f aca="false">IF($A189="","",IF($B189&lt;PlanDate,"Late",""))</f>
        <v/>
      </c>
    </row>
    <row r="190" customFormat="false" ht="15" hidden="false" customHeight="false" outlineLevel="0" collapsed="false">
      <c r="A190" s="11"/>
      <c r="B190" s="6"/>
      <c r="C190" s="11"/>
      <c r="D190" s="11"/>
      <c r="E190" s="8" t="str">
        <f aca="false">IF($A190="","",IF($B190&lt;PlanDate,"Late",""))</f>
        <v/>
      </c>
    </row>
    <row r="191" customFormat="false" ht="15" hidden="false" customHeight="false" outlineLevel="0" collapsed="false">
      <c r="A191" s="11"/>
      <c r="B191" s="6"/>
      <c r="C191" s="11"/>
      <c r="D191" s="11"/>
      <c r="E191" s="8" t="str">
        <f aca="false">IF($A191="","",IF($B191&lt;PlanDate,"Late",""))</f>
        <v/>
      </c>
    </row>
    <row r="192" customFormat="false" ht="15" hidden="false" customHeight="false" outlineLevel="0" collapsed="false">
      <c r="A192" s="11"/>
      <c r="B192" s="6"/>
      <c r="C192" s="11"/>
      <c r="D192" s="11"/>
      <c r="E192" s="8" t="str">
        <f aca="false">IF($A192="","",IF($B192&lt;PlanDate,"Late",""))</f>
        <v/>
      </c>
    </row>
    <row r="193" customFormat="false" ht="15" hidden="false" customHeight="false" outlineLevel="0" collapsed="false">
      <c r="A193" s="11"/>
      <c r="B193" s="6"/>
      <c r="C193" s="11"/>
      <c r="D193" s="11"/>
      <c r="E193" s="8" t="str">
        <f aca="false">IF($A193="","",IF($B193&lt;PlanDate,"Late",""))</f>
        <v/>
      </c>
    </row>
    <row r="194" customFormat="false" ht="15" hidden="false" customHeight="false" outlineLevel="0" collapsed="false">
      <c r="A194" s="11"/>
      <c r="B194" s="6"/>
      <c r="C194" s="11"/>
      <c r="D194" s="11"/>
      <c r="E194" s="8" t="str">
        <f aca="false">IF($A194="","",IF($B194&lt;PlanDate,"Late",""))</f>
        <v/>
      </c>
    </row>
    <row r="195" customFormat="false" ht="15" hidden="false" customHeight="false" outlineLevel="0" collapsed="false">
      <c r="A195" s="11"/>
      <c r="B195" s="6"/>
      <c r="C195" s="11"/>
      <c r="D195" s="11"/>
      <c r="E195" s="8" t="str">
        <f aca="false">IF($A195="","",IF($B195&lt;PlanDate,"Late",""))</f>
        <v/>
      </c>
    </row>
    <row r="196" customFormat="false" ht="15" hidden="false" customHeight="false" outlineLevel="0" collapsed="false">
      <c r="A196" s="11"/>
      <c r="B196" s="6"/>
      <c r="C196" s="11"/>
      <c r="D196" s="11"/>
      <c r="E196" s="8" t="str">
        <f aca="false">IF($A196="","",IF($B196&lt;PlanDate,"Late",""))</f>
        <v/>
      </c>
    </row>
    <row r="197" customFormat="false" ht="15" hidden="false" customHeight="false" outlineLevel="0" collapsed="false">
      <c r="A197" s="11"/>
      <c r="B197" s="6"/>
      <c r="C197" s="11"/>
      <c r="D197" s="11"/>
      <c r="E197" s="8" t="str">
        <f aca="false">IF($A197="","",IF($B197&lt;PlanDate,"Late",""))</f>
        <v/>
      </c>
    </row>
    <row r="198" customFormat="false" ht="15" hidden="false" customHeight="false" outlineLevel="0" collapsed="false">
      <c r="A198" s="11"/>
      <c r="B198" s="6"/>
      <c r="C198" s="11"/>
      <c r="D198" s="11"/>
      <c r="E198" s="8" t="str">
        <f aca="false">IF($A198="","",IF($B198&lt;PlanDate,"Late",""))</f>
        <v/>
      </c>
    </row>
    <row r="199" customFormat="false" ht="15" hidden="false" customHeight="false" outlineLevel="0" collapsed="false">
      <c r="A199" s="11"/>
      <c r="B199" s="6"/>
      <c r="C199" s="11"/>
      <c r="D199" s="11"/>
      <c r="E199" s="8" t="str">
        <f aca="false">IF($A199="","",IF($B199&lt;PlanDate,"Late",""))</f>
        <v/>
      </c>
    </row>
    <row r="200" customFormat="false" ht="15" hidden="false" customHeight="false" outlineLevel="0" collapsed="false">
      <c r="A200" s="11"/>
      <c r="B200" s="6"/>
      <c r="C200" s="11"/>
      <c r="D200" s="11"/>
      <c r="E200" s="8" t="str">
        <f aca="false">IF($A200="","",IF($B200&lt;PlanDate,"Late",""))</f>
        <v/>
      </c>
    </row>
    <row r="201" customFormat="false" ht="15" hidden="false" customHeight="false" outlineLevel="0" collapsed="false">
      <c r="A201" s="11"/>
      <c r="B201" s="6"/>
      <c r="C201" s="11"/>
      <c r="D201" s="11"/>
      <c r="E201" s="8" t="str">
        <f aca="false">IF($A201="","",IF($B201&lt;PlanDate,"Late",""))</f>
        <v/>
      </c>
    </row>
    <row r="202" customFormat="false" ht="15" hidden="false" customHeight="false" outlineLevel="0" collapsed="false">
      <c r="A202" s="11"/>
      <c r="B202" s="6"/>
      <c r="C202" s="11"/>
      <c r="D202" s="11"/>
      <c r="E202" s="8" t="str">
        <f aca="false">IF($A202="","",IF($B202&lt;PlanDate,"Late",""))</f>
        <v/>
      </c>
    </row>
    <row r="203" customFormat="false" ht="15" hidden="false" customHeight="false" outlineLevel="0" collapsed="false">
      <c r="A203" s="11"/>
      <c r="B203" s="6"/>
      <c r="C203" s="11"/>
      <c r="D203" s="11"/>
      <c r="E203" s="8" t="str">
        <f aca="false">IF($A203="","",IF($B203&lt;PlanDate,"Late",""))</f>
        <v/>
      </c>
    </row>
    <row r="204" customFormat="false" ht="15" hidden="false" customHeight="false" outlineLevel="0" collapsed="false">
      <c r="A204" s="11"/>
      <c r="B204" s="6"/>
      <c r="C204" s="11"/>
      <c r="D204" s="11"/>
      <c r="E204" s="8" t="str">
        <f aca="false">IF($A204="","",IF($B204&lt;PlanDate,"Late",""))</f>
        <v/>
      </c>
    </row>
    <row r="205" customFormat="false" ht="15" hidden="false" customHeight="false" outlineLevel="0" collapsed="false">
      <c r="A205" s="11"/>
      <c r="B205" s="6"/>
      <c r="C205" s="11"/>
      <c r="D205" s="11"/>
      <c r="E205" s="8" t="str">
        <f aca="false">IF($A205="","",IF($B205&lt;PlanDate,"Late",""))</f>
        <v/>
      </c>
    </row>
    <row r="206" customFormat="false" ht="15" hidden="false" customHeight="false" outlineLevel="0" collapsed="false">
      <c r="A206" s="11"/>
      <c r="B206" s="6"/>
      <c r="C206" s="11"/>
      <c r="D206" s="11"/>
      <c r="E206" s="8" t="str">
        <f aca="false">IF($A206="","",IF($B206&lt;PlanDate,"Late",""))</f>
        <v/>
      </c>
    </row>
    <row r="207" customFormat="false" ht="15" hidden="false" customHeight="false" outlineLevel="0" collapsed="false">
      <c r="A207" s="11"/>
      <c r="B207" s="6"/>
      <c r="C207" s="11"/>
      <c r="D207" s="11"/>
      <c r="E207" s="8" t="str">
        <f aca="false">IF($A207="","",IF($B207&lt;PlanDate,"Late",""))</f>
        <v/>
      </c>
    </row>
    <row r="208" customFormat="false" ht="15" hidden="false" customHeight="false" outlineLevel="0" collapsed="false">
      <c r="A208" s="11"/>
      <c r="B208" s="6"/>
      <c r="C208" s="11"/>
      <c r="D208" s="11"/>
      <c r="E208" s="8" t="str">
        <f aca="false">IF($A208="","",IF($B208&lt;PlanDate,"Late",""))</f>
        <v/>
      </c>
    </row>
    <row r="209" customFormat="false" ht="15" hidden="false" customHeight="false" outlineLevel="0" collapsed="false">
      <c r="A209" s="11"/>
      <c r="B209" s="6"/>
      <c r="C209" s="11"/>
      <c r="D209" s="11"/>
      <c r="E209" s="8" t="str">
        <f aca="false">IF($A209="","",IF($B209&lt;PlanDate,"Late",""))</f>
        <v/>
      </c>
    </row>
    <row r="210" customFormat="false" ht="15" hidden="false" customHeight="false" outlineLevel="0" collapsed="false">
      <c r="A210" s="11"/>
      <c r="B210" s="6"/>
      <c r="C210" s="11"/>
      <c r="D210" s="11"/>
      <c r="E210" s="8" t="str">
        <f aca="false">IF($A210="","",IF($B210&lt;PlanDate,"Late",""))</f>
        <v/>
      </c>
    </row>
    <row r="211" customFormat="false" ht="15" hidden="false" customHeight="false" outlineLevel="0" collapsed="false">
      <c r="A211" s="11"/>
      <c r="B211" s="6"/>
      <c r="C211" s="11"/>
      <c r="D211" s="11"/>
      <c r="E211" s="8" t="str">
        <f aca="false">IF($A211="","",IF($B211&lt;PlanDate,"Late",""))</f>
        <v/>
      </c>
    </row>
    <row r="212" customFormat="false" ht="15" hidden="false" customHeight="false" outlineLevel="0" collapsed="false">
      <c r="A212" s="11"/>
      <c r="B212" s="6"/>
      <c r="C212" s="11"/>
      <c r="D212" s="11"/>
      <c r="E212" s="8" t="str">
        <f aca="false">IF($A212="","",IF($B212&lt;PlanDate,"Late",""))</f>
        <v/>
      </c>
    </row>
    <row r="213" customFormat="false" ht="15" hidden="false" customHeight="false" outlineLevel="0" collapsed="false">
      <c r="A213" s="11"/>
      <c r="B213" s="6"/>
      <c r="C213" s="11"/>
      <c r="D213" s="11"/>
      <c r="E213" s="8" t="str">
        <f aca="false">IF($A213="","",IF($B213&lt;PlanDate,"Late",""))</f>
        <v/>
      </c>
    </row>
    <row r="214" customFormat="false" ht="15" hidden="false" customHeight="false" outlineLevel="0" collapsed="false">
      <c r="A214" s="11"/>
      <c r="B214" s="6"/>
      <c r="C214" s="11"/>
      <c r="D214" s="11"/>
      <c r="E214" s="8" t="str">
        <f aca="false">IF($A214="","",IF($B214&lt;PlanDate,"Late",""))</f>
        <v/>
      </c>
    </row>
    <row r="215" customFormat="false" ht="15" hidden="false" customHeight="false" outlineLevel="0" collapsed="false">
      <c r="A215" s="11"/>
      <c r="B215" s="6"/>
      <c r="C215" s="11"/>
      <c r="D215" s="11"/>
      <c r="E215" s="8" t="str">
        <f aca="false">IF($A215="","",IF($B215&lt;PlanDate,"Late",""))</f>
        <v/>
      </c>
    </row>
    <row r="216" customFormat="false" ht="15" hidden="false" customHeight="false" outlineLevel="0" collapsed="false">
      <c r="A216" s="11"/>
      <c r="B216" s="6"/>
      <c r="C216" s="11"/>
      <c r="D216" s="11"/>
      <c r="E216" s="8" t="str">
        <f aca="false">IF($A216="","",IF($B216&lt;PlanDate,"Late",""))</f>
        <v/>
      </c>
    </row>
    <row r="217" customFormat="false" ht="15" hidden="false" customHeight="false" outlineLevel="0" collapsed="false">
      <c r="A217" s="11"/>
      <c r="B217" s="6"/>
      <c r="C217" s="11"/>
      <c r="D217" s="11"/>
      <c r="E217" s="8" t="str">
        <f aca="false">IF($A217="","",IF($B217&lt;PlanDate,"Late",""))</f>
        <v/>
      </c>
    </row>
    <row r="218" customFormat="false" ht="15" hidden="false" customHeight="false" outlineLevel="0" collapsed="false">
      <c r="A218" s="11"/>
      <c r="B218" s="6"/>
      <c r="C218" s="11"/>
      <c r="D218" s="11"/>
      <c r="E218" s="8" t="str">
        <f aca="false">IF($A218="","",IF($B218&lt;PlanDate,"Late",""))</f>
        <v/>
      </c>
    </row>
    <row r="219" customFormat="false" ht="15" hidden="false" customHeight="false" outlineLevel="0" collapsed="false">
      <c r="A219" s="11"/>
      <c r="B219" s="6"/>
      <c r="C219" s="11"/>
      <c r="D219" s="11"/>
      <c r="E219" s="8" t="str">
        <f aca="false">IF($A219="","",IF($B219&lt;PlanDate,"Late",""))</f>
        <v/>
      </c>
    </row>
    <row r="220" customFormat="false" ht="15" hidden="false" customHeight="false" outlineLevel="0" collapsed="false">
      <c r="A220" s="11"/>
      <c r="B220" s="6"/>
      <c r="C220" s="11"/>
      <c r="D220" s="11"/>
      <c r="E220" s="8" t="str">
        <f aca="false">IF($A220="","",IF($B220&lt;PlanDate,"Late",""))</f>
        <v/>
      </c>
    </row>
    <row r="221" customFormat="false" ht="15" hidden="false" customHeight="false" outlineLevel="0" collapsed="false">
      <c r="A221" s="11"/>
      <c r="B221" s="6"/>
      <c r="C221" s="11"/>
      <c r="D221" s="11"/>
      <c r="E221" s="8" t="str">
        <f aca="false">IF($A221="","",IF($B221&lt;PlanDate,"Late",""))</f>
        <v/>
      </c>
    </row>
    <row r="222" customFormat="false" ht="15" hidden="false" customHeight="false" outlineLevel="0" collapsed="false">
      <c r="A222" s="11"/>
      <c r="B222" s="6"/>
      <c r="C222" s="11"/>
      <c r="D222" s="11"/>
      <c r="E222" s="8" t="str">
        <f aca="false">IF($A222="","",IF($B222&lt;PlanDate,"Late",""))</f>
        <v/>
      </c>
    </row>
    <row r="223" customFormat="false" ht="15" hidden="false" customHeight="false" outlineLevel="0" collapsed="false">
      <c r="A223" s="11"/>
      <c r="B223" s="6"/>
      <c r="C223" s="11"/>
      <c r="D223" s="11"/>
      <c r="E223" s="8" t="str">
        <f aca="false">IF($A223="","",IF($B223&lt;PlanDate,"Late",""))</f>
        <v/>
      </c>
    </row>
    <row r="224" customFormat="false" ht="15" hidden="false" customHeight="false" outlineLevel="0" collapsed="false">
      <c r="A224" s="11"/>
      <c r="B224" s="6"/>
      <c r="C224" s="11"/>
      <c r="D224" s="11"/>
      <c r="E224" s="8" t="str">
        <f aca="false">IF($A224="","",IF($B224&lt;PlanDate,"Late",""))</f>
        <v/>
      </c>
    </row>
    <row r="225" customFormat="false" ht="15" hidden="false" customHeight="false" outlineLevel="0" collapsed="false">
      <c r="A225" s="11"/>
      <c r="B225" s="6"/>
      <c r="C225" s="11"/>
      <c r="D225" s="11"/>
      <c r="E225" s="8" t="str">
        <f aca="false">IF($A225="","",IF($B225&lt;PlanDate,"Late",""))</f>
        <v/>
      </c>
    </row>
    <row r="226" customFormat="false" ht="15" hidden="false" customHeight="false" outlineLevel="0" collapsed="false">
      <c r="A226" s="11"/>
      <c r="B226" s="6"/>
      <c r="C226" s="11"/>
      <c r="D226" s="11"/>
      <c r="E226" s="8" t="str">
        <f aca="false">IF($A226="","",IF($B226&lt;PlanDate,"Late",""))</f>
        <v/>
      </c>
    </row>
    <row r="227" customFormat="false" ht="15" hidden="false" customHeight="false" outlineLevel="0" collapsed="false">
      <c r="A227" s="11"/>
      <c r="B227" s="6"/>
      <c r="C227" s="11"/>
      <c r="D227" s="11"/>
      <c r="E227" s="8" t="str">
        <f aca="false">IF($A227="","",IF($B227&lt;PlanDate,"Late",""))</f>
        <v/>
      </c>
    </row>
    <row r="228" customFormat="false" ht="15" hidden="false" customHeight="false" outlineLevel="0" collapsed="false">
      <c r="A228" s="11"/>
      <c r="B228" s="6"/>
      <c r="C228" s="11"/>
      <c r="D228" s="11"/>
      <c r="E228" s="8" t="str">
        <f aca="false">IF($A228="","",IF($B228&lt;PlanDate,"Late",""))</f>
        <v/>
      </c>
    </row>
    <row r="229" customFormat="false" ht="15" hidden="false" customHeight="false" outlineLevel="0" collapsed="false">
      <c r="A229" s="11"/>
      <c r="B229" s="6"/>
      <c r="C229" s="11"/>
      <c r="D229" s="11"/>
      <c r="E229" s="8" t="str">
        <f aca="false">IF($A229="","",IF($B229&lt;PlanDate,"Late",""))</f>
        <v/>
      </c>
    </row>
    <row r="230" customFormat="false" ht="15" hidden="false" customHeight="false" outlineLevel="0" collapsed="false">
      <c r="A230" s="11"/>
      <c r="B230" s="6"/>
      <c r="C230" s="11"/>
      <c r="D230" s="11"/>
      <c r="E230" s="8" t="str">
        <f aca="false">IF($A230="","",IF($B230&lt;PlanDate,"Late",""))</f>
        <v/>
      </c>
    </row>
    <row r="231" customFormat="false" ht="15" hidden="false" customHeight="false" outlineLevel="0" collapsed="false">
      <c r="A231" s="11"/>
      <c r="B231" s="6"/>
      <c r="C231" s="11"/>
      <c r="D231" s="11"/>
      <c r="E231" s="8" t="str">
        <f aca="false">IF($A231="","",IF($B231&lt;PlanDate,"Late",""))</f>
        <v/>
      </c>
    </row>
    <row r="232" customFormat="false" ht="15" hidden="false" customHeight="false" outlineLevel="0" collapsed="false">
      <c r="A232" s="11"/>
      <c r="B232" s="6"/>
      <c r="C232" s="11"/>
      <c r="D232" s="11"/>
      <c r="E232" s="8" t="str">
        <f aca="false">IF($A232="","",IF($B232&lt;PlanDate,"Late",""))</f>
        <v/>
      </c>
    </row>
    <row r="233" customFormat="false" ht="15" hidden="false" customHeight="false" outlineLevel="0" collapsed="false">
      <c r="A233" s="11"/>
      <c r="B233" s="6"/>
      <c r="C233" s="11"/>
      <c r="D233" s="11"/>
      <c r="E233" s="8" t="str">
        <f aca="false">IF($A233="","",IF($B233&lt;PlanDate,"Late",""))</f>
        <v/>
      </c>
    </row>
    <row r="234" customFormat="false" ht="15" hidden="false" customHeight="false" outlineLevel="0" collapsed="false">
      <c r="A234" s="11"/>
      <c r="B234" s="6"/>
      <c r="C234" s="11"/>
      <c r="D234" s="11"/>
      <c r="E234" s="8" t="str">
        <f aca="false">IF($A234="","",IF($B234&lt;PlanDate,"Late",""))</f>
        <v/>
      </c>
    </row>
    <row r="235" customFormat="false" ht="15" hidden="false" customHeight="false" outlineLevel="0" collapsed="false">
      <c r="A235" s="11"/>
      <c r="B235" s="6"/>
      <c r="C235" s="11"/>
      <c r="D235" s="11"/>
      <c r="E235" s="8" t="str">
        <f aca="false">IF($A235="","",IF($B235&lt;PlanDate,"Late",""))</f>
        <v/>
      </c>
    </row>
    <row r="236" customFormat="false" ht="15" hidden="false" customHeight="false" outlineLevel="0" collapsed="false">
      <c r="A236" s="11"/>
      <c r="B236" s="6"/>
      <c r="C236" s="11"/>
      <c r="D236" s="11"/>
      <c r="E236" s="8" t="str">
        <f aca="false">IF($A236="","",IF($B236&lt;PlanDate,"Late",""))</f>
        <v/>
      </c>
    </row>
    <row r="237" customFormat="false" ht="15" hidden="false" customHeight="false" outlineLevel="0" collapsed="false">
      <c r="A237" s="11"/>
      <c r="B237" s="6"/>
      <c r="C237" s="11"/>
      <c r="D237" s="11"/>
      <c r="E237" s="8" t="str">
        <f aca="false">IF($A237="","",IF($B237&lt;PlanDate,"Late",""))</f>
        <v/>
      </c>
    </row>
    <row r="238" customFormat="false" ht="15" hidden="false" customHeight="false" outlineLevel="0" collapsed="false">
      <c r="A238" s="11"/>
      <c r="B238" s="6"/>
      <c r="C238" s="11"/>
      <c r="D238" s="11"/>
      <c r="E238" s="8" t="str">
        <f aca="false">IF($A238="","",IF($B238&lt;PlanDate,"Late",""))</f>
        <v/>
      </c>
    </row>
    <row r="239" customFormat="false" ht="15" hidden="false" customHeight="false" outlineLevel="0" collapsed="false">
      <c r="A239" s="11"/>
      <c r="B239" s="6"/>
      <c r="C239" s="11"/>
      <c r="D239" s="11"/>
      <c r="E239" s="8" t="str">
        <f aca="false">IF($A239="","",IF($B239&lt;PlanDate,"Late",""))</f>
        <v/>
      </c>
    </row>
    <row r="240" customFormat="false" ht="15" hidden="false" customHeight="false" outlineLevel="0" collapsed="false">
      <c r="A240" s="11"/>
      <c r="B240" s="6"/>
      <c r="C240" s="11"/>
      <c r="D240" s="11"/>
      <c r="E240" s="8" t="str">
        <f aca="false">IF($A240="","",IF($B240&lt;PlanDate,"Late",""))</f>
        <v/>
      </c>
    </row>
    <row r="241" customFormat="false" ht="15" hidden="false" customHeight="false" outlineLevel="0" collapsed="false">
      <c r="A241" s="11"/>
      <c r="B241" s="6"/>
      <c r="C241" s="11"/>
      <c r="D241" s="11"/>
      <c r="E241" s="8" t="str">
        <f aca="false">IF($A241="","",IF($B241&lt;PlanDate,"Late",""))</f>
        <v/>
      </c>
    </row>
    <row r="242" customFormat="false" ht="15" hidden="false" customHeight="false" outlineLevel="0" collapsed="false">
      <c r="A242" s="11"/>
      <c r="B242" s="6"/>
      <c r="C242" s="11"/>
      <c r="D242" s="11"/>
      <c r="E242" s="8" t="str">
        <f aca="false">IF($A242="","",IF($B242&lt;PlanDate,"Late",""))</f>
        <v/>
      </c>
    </row>
    <row r="243" customFormat="false" ht="15" hidden="false" customHeight="false" outlineLevel="0" collapsed="false">
      <c r="A243" s="11"/>
      <c r="B243" s="6"/>
      <c r="C243" s="11"/>
      <c r="D243" s="11"/>
      <c r="E243" s="8" t="str">
        <f aca="false">IF($A243="","",IF($B243&lt;PlanDate,"Late",""))</f>
        <v/>
      </c>
    </row>
    <row r="244" customFormat="false" ht="15" hidden="false" customHeight="false" outlineLevel="0" collapsed="false">
      <c r="A244" s="11"/>
      <c r="B244" s="6"/>
      <c r="C244" s="11"/>
      <c r="D244" s="11"/>
      <c r="E244" s="8" t="str">
        <f aca="false">IF($A244="","",IF($B244&lt;PlanDate,"Late",""))</f>
        <v/>
      </c>
    </row>
    <row r="245" customFormat="false" ht="15" hidden="false" customHeight="false" outlineLevel="0" collapsed="false">
      <c r="A245" s="11"/>
      <c r="B245" s="6"/>
      <c r="C245" s="11"/>
      <c r="D245" s="11"/>
      <c r="E245" s="8" t="str">
        <f aca="false">IF($A245="","",IF($B245&lt;PlanDate,"Late",""))</f>
        <v/>
      </c>
    </row>
    <row r="246" customFormat="false" ht="15" hidden="false" customHeight="false" outlineLevel="0" collapsed="false">
      <c r="A246" s="11"/>
      <c r="B246" s="6"/>
      <c r="C246" s="11"/>
      <c r="D246" s="11"/>
      <c r="E246" s="8" t="str">
        <f aca="false">IF($A246="","",IF($B246&lt;PlanDate,"Late",""))</f>
        <v/>
      </c>
    </row>
    <row r="247" customFormat="false" ht="15" hidden="false" customHeight="false" outlineLevel="0" collapsed="false">
      <c r="A247" s="11"/>
      <c r="B247" s="6"/>
      <c r="C247" s="11"/>
      <c r="D247" s="11"/>
      <c r="E247" s="8" t="str">
        <f aca="false">IF($A247="","",IF($B247&lt;PlanDate,"Late",""))</f>
        <v/>
      </c>
    </row>
    <row r="248" customFormat="false" ht="15" hidden="false" customHeight="false" outlineLevel="0" collapsed="false">
      <c r="A248" s="11"/>
      <c r="B248" s="6"/>
      <c r="C248" s="11"/>
      <c r="D248" s="11"/>
      <c r="E248" s="8" t="str">
        <f aca="false">IF($A248="","",IF($B248&lt;PlanDate,"Late",""))</f>
        <v/>
      </c>
    </row>
    <row r="249" customFormat="false" ht="15" hidden="false" customHeight="false" outlineLevel="0" collapsed="false">
      <c r="A249" s="11"/>
      <c r="B249" s="6"/>
      <c r="C249" s="11"/>
      <c r="D249" s="11"/>
      <c r="E249" s="8" t="str">
        <f aca="false">IF($A249="","",IF($B249&lt;PlanDate,"Late",""))</f>
        <v/>
      </c>
    </row>
    <row r="250" customFormat="false" ht="15" hidden="false" customHeight="false" outlineLevel="0" collapsed="false">
      <c r="A250" s="11"/>
      <c r="B250" s="6"/>
      <c r="C250" s="11"/>
      <c r="D250" s="11"/>
      <c r="E250" s="8" t="str">
        <f aca="false">IF($A250="","",IF($B250&lt;PlanDate,"Late",""))</f>
        <v/>
      </c>
    </row>
    <row r="251" customFormat="false" ht="15" hidden="false" customHeight="false" outlineLevel="0" collapsed="false">
      <c r="A251" s="11"/>
      <c r="B251" s="6"/>
      <c r="C251" s="11"/>
      <c r="D251" s="11"/>
      <c r="E251" s="8" t="str">
        <f aca="false">IF($A251="","",IF($B251&lt;PlanDate,"Late",""))</f>
        <v/>
      </c>
    </row>
    <row r="252" customFormat="false" ht="15" hidden="false" customHeight="false" outlineLevel="0" collapsed="false">
      <c r="A252" s="11"/>
      <c r="B252" s="6"/>
      <c r="C252" s="11"/>
      <c r="D252" s="11"/>
      <c r="E252" s="8" t="str">
        <f aca="false">IF($A252="","",IF($B252&lt;PlanDate,"Late",""))</f>
        <v/>
      </c>
    </row>
    <row r="253" customFormat="false" ht="15" hidden="false" customHeight="false" outlineLevel="0" collapsed="false">
      <c r="A253" s="11"/>
      <c r="B253" s="6"/>
      <c r="C253" s="11"/>
      <c r="D253" s="11"/>
      <c r="E253" s="8" t="str">
        <f aca="false">IF($A253="","",IF($B253&lt;PlanDate,"Late",""))</f>
        <v/>
      </c>
    </row>
    <row r="254" customFormat="false" ht="15" hidden="false" customHeight="false" outlineLevel="0" collapsed="false">
      <c r="A254" s="11"/>
      <c r="B254" s="6"/>
      <c r="C254" s="11"/>
      <c r="D254" s="11"/>
      <c r="E254" s="8" t="str">
        <f aca="false">IF($A254="","",IF($B254&lt;PlanDate,"Late",""))</f>
        <v/>
      </c>
    </row>
    <row r="255" customFormat="false" ht="15" hidden="false" customHeight="false" outlineLevel="0" collapsed="false">
      <c r="A255" s="11"/>
      <c r="B255" s="6"/>
      <c r="C255" s="11"/>
      <c r="D255" s="11"/>
      <c r="E255" s="8" t="str">
        <f aca="false">IF($A255="","",IF($B255&lt;PlanDate,"Late",""))</f>
        <v/>
      </c>
    </row>
    <row r="256" customFormat="false" ht="15" hidden="false" customHeight="false" outlineLevel="0" collapsed="false">
      <c r="A256" s="11"/>
      <c r="B256" s="6"/>
      <c r="C256" s="11"/>
      <c r="D256" s="11"/>
      <c r="E256" s="8" t="str">
        <f aca="false">IF($A256="","",IF($B256&lt;PlanDate,"Late",""))</f>
        <v/>
      </c>
    </row>
    <row r="257" customFormat="false" ht="15" hidden="false" customHeight="false" outlineLevel="0" collapsed="false">
      <c r="A257" s="11"/>
      <c r="B257" s="6"/>
      <c r="C257" s="11"/>
      <c r="D257" s="11"/>
      <c r="E257" s="8" t="str">
        <f aca="false">IF($A257="","",IF($B257&lt;PlanDate,"Late",""))</f>
        <v/>
      </c>
    </row>
    <row r="258" customFormat="false" ht="15" hidden="false" customHeight="false" outlineLevel="0" collapsed="false">
      <c r="A258" s="11"/>
      <c r="B258" s="6"/>
      <c r="C258" s="11"/>
      <c r="D258" s="11"/>
      <c r="E258" s="8" t="str">
        <f aca="false">IF($A258="","",IF($B258&lt;PlanDate,"Late",""))</f>
        <v/>
      </c>
    </row>
    <row r="259" customFormat="false" ht="15" hidden="false" customHeight="false" outlineLevel="0" collapsed="false">
      <c r="A259" s="11"/>
      <c r="B259" s="6"/>
      <c r="C259" s="11"/>
      <c r="D259" s="11"/>
      <c r="E259" s="8" t="str">
        <f aca="false">IF($A259="","",IF($B259&lt;PlanDate,"Late",""))</f>
        <v/>
      </c>
    </row>
    <row r="260" customFormat="false" ht="15" hidden="false" customHeight="false" outlineLevel="0" collapsed="false">
      <c r="A260" s="11"/>
      <c r="B260" s="6"/>
      <c r="C260" s="11"/>
      <c r="D260" s="11"/>
      <c r="E260" s="8" t="str">
        <f aca="false">IF($A260="","",IF($B260&lt;PlanDate,"Late",""))</f>
        <v/>
      </c>
    </row>
    <row r="261" customFormat="false" ht="15" hidden="false" customHeight="false" outlineLevel="0" collapsed="false">
      <c r="A261" s="11"/>
      <c r="B261" s="6"/>
      <c r="C261" s="11"/>
      <c r="D261" s="11"/>
      <c r="E261" s="8" t="str">
        <f aca="false">IF($A261="","",IF($B261&lt;PlanDate,"Late",""))</f>
        <v/>
      </c>
    </row>
    <row r="262" customFormat="false" ht="15" hidden="false" customHeight="false" outlineLevel="0" collapsed="false">
      <c r="A262" s="11"/>
      <c r="B262" s="6"/>
      <c r="C262" s="11"/>
      <c r="D262" s="11"/>
      <c r="E262" s="8" t="str">
        <f aca="false">IF($A262="","",IF($B262&lt;PlanDate,"Late",""))</f>
        <v/>
      </c>
    </row>
    <row r="263" customFormat="false" ht="15" hidden="false" customHeight="false" outlineLevel="0" collapsed="false">
      <c r="A263" s="11"/>
      <c r="B263" s="6"/>
      <c r="C263" s="11"/>
      <c r="D263" s="11"/>
      <c r="E263" s="8" t="str">
        <f aca="false">IF($A263="","",IF($B263&lt;PlanDate,"Late",""))</f>
        <v/>
      </c>
    </row>
    <row r="264" customFormat="false" ht="15" hidden="false" customHeight="false" outlineLevel="0" collapsed="false">
      <c r="A264" s="11"/>
      <c r="B264" s="6"/>
      <c r="C264" s="11"/>
      <c r="D264" s="11"/>
      <c r="E264" s="8" t="str">
        <f aca="false">IF($A264="","",IF($B264&lt;PlanDate,"Late",""))</f>
        <v/>
      </c>
    </row>
    <row r="265" customFormat="false" ht="15" hidden="false" customHeight="false" outlineLevel="0" collapsed="false">
      <c r="A265" s="11"/>
      <c r="B265" s="6"/>
      <c r="C265" s="11"/>
      <c r="D265" s="11"/>
      <c r="E265" s="8" t="str">
        <f aca="false">IF($A265="","",IF($B265&lt;PlanDate,"Late",""))</f>
        <v/>
      </c>
    </row>
    <row r="266" customFormat="false" ht="15" hidden="false" customHeight="false" outlineLevel="0" collapsed="false">
      <c r="A266" s="11"/>
      <c r="B266" s="6"/>
      <c r="C266" s="11"/>
      <c r="D266" s="11"/>
      <c r="E266" s="8" t="str">
        <f aca="false">IF($A266="","",IF($B266&lt;PlanDate,"Late",""))</f>
        <v/>
      </c>
    </row>
    <row r="267" customFormat="false" ht="15" hidden="false" customHeight="false" outlineLevel="0" collapsed="false">
      <c r="A267" s="11"/>
      <c r="B267" s="6"/>
      <c r="C267" s="11"/>
      <c r="D267" s="11"/>
      <c r="E267" s="8" t="str">
        <f aca="false">IF($A267="","",IF($B267&lt;PlanDate,"Late",""))</f>
        <v/>
      </c>
    </row>
    <row r="268" customFormat="false" ht="15" hidden="false" customHeight="false" outlineLevel="0" collapsed="false">
      <c r="A268" s="11"/>
      <c r="B268" s="6"/>
      <c r="C268" s="11"/>
      <c r="D268" s="11"/>
      <c r="E268" s="8" t="str">
        <f aca="false">IF($A268="","",IF($B268&lt;PlanDate,"Late",""))</f>
        <v/>
      </c>
    </row>
    <row r="269" customFormat="false" ht="15" hidden="false" customHeight="false" outlineLevel="0" collapsed="false">
      <c r="A269" s="11"/>
      <c r="B269" s="6"/>
      <c r="C269" s="11"/>
      <c r="D269" s="11"/>
      <c r="E269" s="8" t="str">
        <f aca="false">IF($A269="","",IF($B269&lt;PlanDate,"Late",""))</f>
        <v/>
      </c>
    </row>
    <row r="270" customFormat="false" ht="15" hidden="false" customHeight="false" outlineLevel="0" collapsed="false">
      <c r="A270" s="11"/>
      <c r="B270" s="6"/>
      <c r="C270" s="11"/>
      <c r="D270" s="11"/>
      <c r="E270" s="8" t="str">
        <f aca="false">IF($A270="","",IF($B270&lt;PlanDate,"Late",""))</f>
        <v/>
      </c>
    </row>
    <row r="271" customFormat="false" ht="15" hidden="false" customHeight="false" outlineLevel="0" collapsed="false">
      <c r="A271" s="11"/>
      <c r="B271" s="6"/>
      <c r="C271" s="11"/>
      <c r="D271" s="11"/>
      <c r="E271" s="8" t="str">
        <f aca="false">IF($A271="","",IF($B271&lt;PlanDate,"Late",""))</f>
        <v/>
      </c>
    </row>
    <row r="272" customFormat="false" ht="15" hidden="false" customHeight="false" outlineLevel="0" collapsed="false">
      <c r="A272" s="11"/>
      <c r="B272" s="6"/>
      <c r="C272" s="11"/>
      <c r="D272" s="11"/>
      <c r="E272" s="8" t="str">
        <f aca="false">IF($A272="","",IF($B272&lt;PlanDate,"Late",""))</f>
        <v/>
      </c>
    </row>
    <row r="273" customFormat="false" ht="15" hidden="false" customHeight="false" outlineLevel="0" collapsed="false">
      <c r="A273" s="11"/>
      <c r="B273" s="6"/>
      <c r="C273" s="11"/>
      <c r="D273" s="11"/>
      <c r="E273" s="8" t="str">
        <f aca="false">IF($A273="","",IF($B273&lt;PlanDate,"Late",""))</f>
        <v/>
      </c>
    </row>
    <row r="274" customFormat="false" ht="15" hidden="false" customHeight="false" outlineLevel="0" collapsed="false">
      <c r="A274" s="11"/>
      <c r="B274" s="6"/>
      <c r="C274" s="11"/>
      <c r="D274" s="11"/>
      <c r="E274" s="8" t="str">
        <f aca="false">IF($A274="","",IF($B274&lt;PlanDate,"Late",""))</f>
        <v/>
      </c>
    </row>
    <row r="275" customFormat="false" ht="15" hidden="false" customHeight="false" outlineLevel="0" collapsed="false">
      <c r="A275" s="11"/>
      <c r="B275" s="6"/>
      <c r="C275" s="11"/>
      <c r="D275" s="11"/>
      <c r="E275" s="8" t="str">
        <f aca="false">IF($A275="","",IF($B275&lt;PlanDate,"Late",""))</f>
        <v/>
      </c>
    </row>
    <row r="276" customFormat="false" ht="15" hidden="false" customHeight="false" outlineLevel="0" collapsed="false">
      <c r="A276" s="11"/>
      <c r="B276" s="6"/>
      <c r="C276" s="11"/>
      <c r="D276" s="11"/>
      <c r="E276" s="8" t="str">
        <f aca="false">IF($A276="","",IF($B276&lt;PlanDate,"Late",""))</f>
        <v/>
      </c>
    </row>
    <row r="277" customFormat="false" ht="15" hidden="false" customHeight="false" outlineLevel="0" collapsed="false">
      <c r="A277" s="11"/>
      <c r="B277" s="6"/>
      <c r="C277" s="11"/>
      <c r="D277" s="11"/>
      <c r="E277" s="8" t="str">
        <f aca="false">IF($A277="","",IF($B277&lt;PlanDate,"Late",""))</f>
        <v/>
      </c>
    </row>
    <row r="278" customFormat="false" ht="15" hidden="false" customHeight="false" outlineLevel="0" collapsed="false">
      <c r="A278" s="11"/>
      <c r="B278" s="6"/>
      <c r="C278" s="11"/>
      <c r="D278" s="11"/>
      <c r="E278" s="8" t="str">
        <f aca="false">IF($A278="","",IF($B278&lt;PlanDate,"Late",""))</f>
        <v/>
      </c>
    </row>
    <row r="279" customFormat="false" ht="15" hidden="false" customHeight="false" outlineLevel="0" collapsed="false">
      <c r="A279" s="11"/>
      <c r="B279" s="6"/>
      <c r="C279" s="11"/>
      <c r="D279" s="11"/>
      <c r="E279" s="8" t="str">
        <f aca="false">IF($A279="","",IF($B279&lt;PlanDate,"Late",""))</f>
        <v/>
      </c>
    </row>
    <row r="280" customFormat="false" ht="15" hidden="false" customHeight="false" outlineLevel="0" collapsed="false">
      <c r="A280" s="11"/>
      <c r="B280" s="6"/>
      <c r="C280" s="11"/>
      <c r="D280" s="11"/>
      <c r="E280" s="8" t="str">
        <f aca="false">IF($A280="","",IF($B280&lt;PlanDate,"Late",""))</f>
        <v/>
      </c>
    </row>
    <row r="281" customFormat="false" ht="15" hidden="false" customHeight="false" outlineLevel="0" collapsed="false">
      <c r="A281" s="11"/>
      <c r="B281" s="6"/>
      <c r="C281" s="11"/>
      <c r="D281" s="11"/>
      <c r="E281" s="8" t="str">
        <f aca="false">IF($A281="","",IF($B281&lt;PlanDate,"Late",""))</f>
        <v/>
      </c>
    </row>
    <row r="282" customFormat="false" ht="15" hidden="false" customHeight="false" outlineLevel="0" collapsed="false">
      <c r="A282" s="11"/>
      <c r="B282" s="6"/>
      <c r="C282" s="11"/>
      <c r="D282" s="11"/>
      <c r="E282" s="8" t="str">
        <f aca="false">IF($A282="","",IF($B282&lt;PlanDate,"Late",""))</f>
        <v/>
      </c>
    </row>
    <row r="283" customFormat="false" ht="15" hidden="false" customHeight="false" outlineLevel="0" collapsed="false">
      <c r="A283" s="11"/>
      <c r="B283" s="6"/>
      <c r="C283" s="11"/>
      <c r="D283" s="11"/>
      <c r="E283" s="8" t="str">
        <f aca="false">IF($A283="","",IF($B283&lt;PlanDate,"Late",""))</f>
        <v/>
      </c>
    </row>
    <row r="284" customFormat="false" ht="15" hidden="false" customHeight="false" outlineLevel="0" collapsed="false">
      <c r="A284" s="11"/>
      <c r="B284" s="6"/>
      <c r="C284" s="11"/>
      <c r="D284" s="11"/>
      <c r="E284" s="8" t="str">
        <f aca="false">IF($A284="","",IF($B284&lt;PlanDate,"Late",""))</f>
        <v/>
      </c>
    </row>
    <row r="285" customFormat="false" ht="15" hidden="false" customHeight="false" outlineLevel="0" collapsed="false">
      <c r="A285" s="11"/>
      <c r="B285" s="6"/>
      <c r="C285" s="11"/>
      <c r="D285" s="11"/>
      <c r="E285" s="8" t="str">
        <f aca="false">IF($A285="","",IF($B285&lt;PlanDate,"Late",""))</f>
        <v/>
      </c>
    </row>
    <row r="286" customFormat="false" ht="15" hidden="false" customHeight="false" outlineLevel="0" collapsed="false">
      <c r="A286" s="11"/>
      <c r="B286" s="6"/>
      <c r="C286" s="11"/>
      <c r="D286" s="11"/>
      <c r="E286" s="8" t="str">
        <f aca="false">IF($A286="","",IF($B286&lt;PlanDate,"Late",""))</f>
        <v/>
      </c>
    </row>
    <row r="287" customFormat="false" ht="15" hidden="false" customHeight="false" outlineLevel="0" collapsed="false">
      <c r="A287" s="11"/>
      <c r="B287" s="6"/>
      <c r="C287" s="11"/>
      <c r="D287" s="11"/>
      <c r="E287" s="8" t="str">
        <f aca="false">IF($A287="","",IF($B287&lt;PlanDate,"Late",""))</f>
        <v/>
      </c>
    </row>
    <row r="288" customFormat="false" ht="15" hidden="false" customHeight="false" outlineLevel="0" collapsed="false">
      <c r="A288" s="11"/>
      <c r="B288" s="6"/>
      <c r="C288" s="11"/>
      <c r="D288" s="11"/>
      <c r="E288" s="8" t="str">
        <f aca="false">IF($A288="","",IF($B288&lt;PlanDate,"Late",""))</f>
        <v/>
      </c>
    </row>
    <row r="289" customFormat="false" ht="15" hidden="false" customHeight="false" outlineLevel="0" collapsed="false">
      <c r="A289" s="11"/>
      <c r="B289" s="6"/>
      <c r="C289" s="11"/>
      <c r="D289" s="11"/>
      <c r="E289" s="8" t="str">
        <f aca="false">IF($A289="","",IF($B289&lt;PlanDate,"Late",""))</f>
        <v/>
      </c>
    </row>
    <row r="290" customFormat="false" ht="15" hidden="false" customHeight="false" outlineLevel="0" collapsed="false">
      <c r="A290" s="11"/>
      <c r="B290" s="6"/>
      <c r="C290" s="11"/>
      <c r="D290" s="11"/>
      <c r="E290" s="8" t="str">
        <f aca="false">IF($A290="","",IF($B290&lt;PlanDate,"Late",""))</f>
        <v/>
      </c>
    </row>
    <row r="291" customFormat="false" ht="15" hidden="false" customHeight="false" outlineLevel="0" collapsed="false">
      <c r="A291" s="11"/>
      <c r="B291" s="6"/>
      <c r="C291" s="11"/>
      <c r="D291" s="11"/>
      <c r="E291" s="8" t="str">
        <f aca="false">IF($A291="","",IF($B291&lt;PlanDate,"Late",""))</f>
        <v/>
      </c>
    </row>
    <row r="292" customFormat="false" ht="15" hidden="false" customHeight="false" outlineLevel="0" collapsed="false">
      <c r="A292" s="11"/>
      <c r="B292" s="6"/>
      <c r="C292" s="11"/>
      <c r="D292" s="11"/>
      <c r="E292" s="8" t="str">
        <f aca="false">IF($A292="","",IF($B292&lt;PlanDate,"Late",""))</f>
        <v/>
      </c>
    </row>
    <row r="293" customFormat="false" ht="15" hidden="false" customHeight="false" outlineLevel="0" collapsed="false">
      <c r="A293" s="11"/>
      <c r="B293" s="6"/>
      <c r="C293" s="11"/>
      <c r="D293" s="11"/>
      <c r="E293" s="8" t="str">
        <f aca="false">IF($A293="","",IF($B293&lt;PlanDate,"Late",""))</f>
        <v/>
      </c>
    </row>
    <row r="294" customFormat="false" ht="15" hidden="false" customHeight="false" outlineLevel="0" collapsed="false">
      <c r="A294" s="11"/>
      <c r="B294" s="6"/>
      <c r="C294" s="11"/>
      <c r="D294" s="11"/>
      <c r="E294" s="8" t="str">
        <f aca="false">IF($A294="","",IF($B294&lt;PlanDate,"Late",""))</f>
        <v/>
      </c>
    </row>
    <row r="295" customFormat="false" ht="15" hidden="false" customHeight="false" outlineLevel="0" collapsed="false">
      <c r="A295" s="11"/>
      <c r="B295" s="6"/>
      <c r="C295" s="11"/>
      <c r="D295" s="11"/>
      <c r="E295" s="8" t="str">
        <f aca="false">IF($A295="","",IF($B295&lt;PlanDate,"Late",""))</f>
        <v/>
      </c>
    </row>
    <row r="296" customFormat="false" ht="15" hidden="false" customHeight="false" outlineLevel="0" collapsed="false">
      <c r="A296" s="11"/>
      <c r="B296" s="6"/>
      <c r="C296" s="11"/>
      <c r="D296" s="11"/>
      <c r="E296" s="8" t="str">
        <f aca="false">IF($A296="","",IF($B296&lt;PlanDate,"Late",""))</f>
        <v/>
      </c>
    </row>
    <row r="297" customFormat="false" ht="15" hidden="false" customHeight="false" outlineLevel="0" collapsed="false">
      <c r="A297" s="11"/>
      <c r="B297" s="6"/>
      <c r="C297" s="11"/>
      <c r="D297" s="11"/>
      <c r="E297" s="8" t="str">
        <f aca="false">IF($A297="","",IF($B297&lt;PlanDate,"Late",""))</f>
        <v/>
      </c>
    </row>
    <row r="298" customFormat="false" ht="15" hidden="false" customHeight="false" outlineLevel="0" collapsed="false">
      <c r="A298" s="11"/>
      <c r="B298" s="6"/>
      <c r="C298" s="11"/>
      <c r="D298" s="11"/>
      <c r="E298" s="8" t="str">
        <f aca="false">IF($A298="","",IF($B298&lt;PlanDate,"Late",""))</f>
        <v/>
      </c>
    </row>
    <row r="299" customFormat="false" ht="15" hidden="false" customHeight="false" outlineLevel="0" collapsed="false">
      <c r="A299" s="11"/>
      <c r="B299" s="6"/>
      <c r="C299" s="11"/>
      <c r="D299" s="11"/>
      <c r="E299" s="8" t="str">
        <f aca="false">IF($A299="","",IF($B299&lt;PlanDate,"Late",""))</f>
        <v/>
      </c>
    </row>
    <row r="300" customFormat="false" ht="15" hidden="false" customHeight="false" outlineLevel="0" collapsed="false">
      <c r="A300" s="11"/>
      <c r="B300" s="6"/>
      <c r="C300" s="11"/>
      <c r="D300" s="11"/>
      <c r="E300" s="8" t="str">
        <f aca="false">IF($A300="","",IF($B300&lt;PlanDate,"Late",""))</f>
        <v/>
      </c>
    </row>
    <row r="301" customFormat="false" ht="15" hidden="false" customHeight="false" outlineLevel="0" collapsed="false">
      <c r="A301" s="11"/>
      <c r="B301" s="6"/>
      <c r="C301" s="11"/>
      <c r="D301" s="11"/>
      <c r="E301" s="8" t="str">
        <f aca="false">IF($A301="","",IF($B301&lt;PlanDate,"Late",""))</f>
        <v/>
      </c>
    </row>
    <row r="302" customFormat="false" ht="15" hidden="false" customHeight="false" outlineLevel="0" collapsed="false">
      <c r="A302" s="11"/>
      <c r="B302" s="6"/>
      <c r="C302" s="11"/>
      <c r="D302" s="11"/>
      <c r="E302" s="8" t="str">
        <f aca="false">IF($A302="","",IF($B302&lt;PlanDate,"Late",""))</f>
        <v/>
      </c>
    </row>
    <row r="303" customFormat="false" ht="15" hidden="false" customHeight="false" outlineLevel="0" collapsed="false">
      <c r="A303" s="11"/>
      <c r="B303" s="6"/>
      <c r="C303" s="11"/>
      <c r="D303" s="11"/>
      <c r="E303" s="8" t="str">
        <f aca="false">IF($A303="","",IF($B303&lt;PlanDate,"Late",""))</f>
        <v/>
      </c>
    </row>
    <row r="304" customFormat="false" ht="15" hidden="false" customHeight="false" outlineLevel="0" collapsed="false">
      <c r="A304" s="11"/>
      <c r="B304" s="6"/>
      <c r="C304" s="11"/>
      <c r="D304" s="11"/>
      <c r="E304" s="8" t="str">
        <f aca="false">IF($A304="","",IF($B304&lt;PlanDate,"Late",""))</f>
        <v/>
      </c>
    </row>
    <row r="305" customFormat="false" ht="15" hidden="false" customHeight="false" outlineLevel="0" collapsed="false">
      <c r="A305" s="11"/>
      <c r="B305" s="6"/>
      <c r="C305" s="11"/>
      <c r="D305" s="11"/>
      <c r="E305" s="8" t="str">
        <f aca="false">IF($A305="","",IF($B305&lt;PlanDate,"Late",""))</f>
        <v/>
      </c>
    </row>
    <row r="306" customFormat="false" ht="15" hidden="false" customHeight="false" outlineLevel="0" collapsed="false">
      <c r="A306" s="11"/>
      <c r="B306" s="6"/>
      <c r="C306" s="11"/>
      <c r="D306" s="11"/>
      <c r="E306" s="8" t="str">
        <f aca="false">IF($A306="","",IF($B306&lt;PlanDate,"Late",""))</f>
        <v/>
      </c>
    </row>
    <row r="307" customFormat="false" ht="15" hidden="false" customHeight="false" outlineLevel="0" collapsed="false">
      <c r="A307" s="11"/>
      <c r="B307" s="6"/>
      <c r="C307" s="11"/>
      <c r="D307" s="11"/>
      <c r="E307" s="8" t="str">
        <f aca="false">IF($A307="","",IF($B307&lt;PlanDate,"Late",""))</f>
        <v/>
      </c>
    </row>
    <row r="308" customFormat="false" ht="15" hidden="false" customHeight="false" outlineLevel="0" collapsed="false">
      <c r="A308" s="11"/>
      <c r="B308" s="6"/>
      <c r="C308" s="11"/>
      <c r="D308" s="11"/>
      <c r="E308" s="8" t="str">
        <f aca="false">IF($A308="","",IF($B308&lt;PlanDate,"Late",""))</f>
        <v/>
      </c>
    </row>
    <row r="309" customFormat="false" ht="15" hidden="false" customHeight="false" outlineLevel="0" collapsed="false">
      <c r="A309" s="11"/>
      <c r="B309" s="6"/>
      <c r="C309" s="11"/>
      <c r="D309" s="11"/>
      <c r="E309" s="8" t="str">
        <f aca="false">IF($A309="","",IF($B309&lt;PlanDate,"Late",""))</f>
        <v/>
      </c>
    </row>
    <row r="310" customFormat="false" ht="15" hidden="false" customHeight="false" outlineLevel="0" collapsed="false">
      <c r="A310" s="11"/>
      <c r="B310" s="6"/>
      <c r="C310" s="11"/>
      <c r="D310" s="11"/>
      <c r="E310" s="8" t="str">
        <f aca="false">IF($A310="","",IF($B310&lt;PlanDate,"Late",""))</f>
        <v/>
      </c>
    </row>
    <row r="311" customFormat="false" ht="15" hidden="false" customHeight="false" outlineLevel="0" collapsed="false">
      <c r="A311" s="11"/>
      <c r="B311" s="6"/>
      <c r="C311" s="11"/>
      <c r="D311" s="11"/>
      <c r="E311" s="8" t="str">
        <f aca="false">IF($A311="","",IF($B311&lt;PlanDate,"Late",""))</f>
        <v/>
      </c>
    </row>
    <row r="312" customFormat="false" ht="15" hidden="false" customHeight="false" outlineLevel="0" collapsed="false">
      <c r="A312" s="11"/>
      <c r="B312" s="6"/>
      <c r="C312" s="11"/>
      <c r="D312" s="11"/>
      <c r="E312" s="8" t="str">
        <f aca="false">IF($A312="","",IF($B312&lt;PlanDate,"Late",""))</f>
        <v/>
      </c>
    </row>
    <row r="313" customFormat="false" ht="15" hidden="false" customHeight="false" outlineLevel="0" collapsed="false">
      <c r="A313" s="11"/>
      <c r="B313" s="6"/>
      <c r="C313" s="11"/>
      <c r="D313" s="11"/>
      <c r="E313" s="8" t="str">
        <f aca="false">IF($A313="","",IF($B313&lt;PlanDate,"Late",""))</f>
        <v/>
      </c>
    </row>
    <row r="314" customFormat="false" ht="15" hidden="false" customHeight="false" outlineLevel="0" collapsed="false">
      <c r="A314" s="11"/>
      <c r="B314" s="6"/>
      <c r="C314" s="11"/>
      <c r="D314" s="11"/>
      <c r="E314" s="8" t="str">
        <f aca="false">IF($A314="","",IF($B314&lt;PlanDate,"Late",""))</f>
        <v/>
      </c>
    </row>
    <row r="315" customFormat="false" ht="15" hidden="false" customHeight="false" outlineLevel="0" collapsed="false">
      <c r="A315" s="11"/>
      <c r="B315" s="6"/>
      <c r="C315" s="11"/>
      <c r="D315" s="11"/>
      <c r="E315" s="8" t="str">
        <f aca="false">IF($A315="","",IF($B315&lt;PlanDate,"Late",""))</f>
        <v/>
      </c>
    </row>
    <row r="316" customFormat="false" ht="15" hidden="false" customHeight="false" outlineLevel="0" collapsed="false">
      <c r="A316" s="11"/>
      <c r="B316" s="6"/>
      <c r="C316" s="11"/>
      <c r="D316" s="11"/>
      <c r="E316" s="8" t="str">
        <f aca="false">IF($A316="","",IF($B316&lt;PlanDate,"Late",""))</f>
        <v/>
      </c>
    </row>
    <row r="317" customFormat="false" ht="15" hidden="false" customHeight="false" outlineLevel="0" collapsed="false">
      <c r="A317" s="11"/>
      <c r="B317" s="6"/>
      <c r="C317" s="11"/>
      <c r="D317" s="11"/>
      <c r="E317" s="8" t="str">
        <f aca="false">IF($A317="","",IF($B317&lt;PlanDate,"Late",""))</f>
        <v/>
      </c>
    </row>
    <row r="318" customFormat="false" ht="15" hidden="false" customHeight="false" outlineLevel="0" collapsed="false">
      <c r="A318" s="11"/>
      <c r="B318" s="6"/>
      <c r="C318" s="11"/>
      <c r="D318" s="11"/>
      <c r="E318" s="8" t="str">
        <f aca="false">IF($A318="","",IF($B318&lt;PlanDate,"Late",""))</f>
        <v/>
      </c>
    </row>
    <row r="319" customFormat="false" ht="15" hidden="false" customHeight="false" outlineLevel="0" collapsed="false">
      <c r="A319" s="11"/>
      <c r="B319" s="6"/>
      <c r="C319" s="11"/>
      <c r="D319" s="11"/>
      <c r="E319" s="8" t="str">
        <f aca="false">IF($A319="","",IF($B319&lt;PlanDate,"Late",""))</f>
        <v/>
      </c>
    </row>
    <row r="320" customFormat="false" ht="15" hidden="false" customHeight="false" outlineLevel="0" collapsed="false">
      <c r="A320" s="11"/>
      <c r="B320" s="6"/>
      <c r="C320" s="11"/>
      <c r="D320" s="11"/>
      <c r="E320" s="8" t="str">
        <f aca="false">IF($A320="","",IF($B320&lt;PlanDate,"Late",""))</f>
        <v/>
      </c>
    </row>
    <row r="321" customFormat="false" ht="15" hidden="false" customHeight="false" outlineLevel="0" collapsed="false">
      <c r="A321" s="11"/>
      <c r="B321" s="6"/>
      <c r="C321" s="11"/>
      <c r="D321" s="11"/>
      <c r="E321" s="8" t="str">
        <f aca="false">IF($A321="","",IF($B321&lt;PlanDate,"Late",""))</f>
        <v/>
      </c>
    </row>
    <row r="322" customFormat="false" ht="15" hidden="false" customHeight="false" outlineLevel="0" collapsed="false">
      <c r="A322" s="11"/>
      <c r="B322" s="6"/>
      <c r="C322" s="11"/>
      <c r="D322" s="11"/>
      <c r="E322" s="8" t="str">
        <f aca="false">IF($A322="","",IF($B322&lt;PlanDate,"Late",""))</f>
        <v/>
      </c>
    </row>
    <row r="323" customFormat="false" ht="15" hidden="false" customHeight="false" outlineLevel="0" collapsed="false">
      <c r="A323" s="11"/>
      <c r="B323" s="6"/>
      <c r="C323" s="11"/>
      <c r="D323" s="11"/>
      <c r="E323" s="8" t="str">
        <f aca="false">IF($A323="","",IF($B323&lt;PlanDate,"Late",""))</f>
        <v/>
      </c>
    </row>
    <row r="324" customFormat="false" ht="15" hidden="false" customHeight="false" outlineLevel="0" collapsed="false">
      <c r="A324" s="11"/>
      <c r="B324" s="6"/>
      <c r="C324" s="11"/>
      <c r="D324" s="11"/>
      <c r="E324" s="8" t="str">
        <f aca="false">IF($A324="","",IF($B324&lt;PlanDate,"Late",""))</f>
        <v/>
      </c>
    </row>
    <row r="325" customFormat="false" ht="15" hidden="false" customHeight="false" outlineLevel="0" collapsed="false">
      <c r="A325" s="11"/>
      <c r="B325" s="6"/>
      <c r="C325" s="11"/>
      <c r="D325" s="11"/>
      <c r="E325" s="8" t="str">
        <f aca="false">IF($A325="","",IF($B325&lt;PlanDate,"Late",""))</f>
        <v/>
      </c>
    </row>
    <row r="326" customFormat="false" ht="15" hidden="false" customHeight="false" outlineLevel="0" collapsed="false">
      <c r="A326" s="11"/>
      <c r="B326" s="6"/>
      <c r="C326" s="11"/>
      <c r="D326" s="11"/>
      <c r="E326" s="8" t="str">
        <f aca="false">IF($A326="","",IF($B326&lt;PlanDate,"Late",""))</f>
        <v/>
      </c>
    </row>
    <row r="327" customFormat="false" ht="15" hidden="false" customHeight="false" outlineLevel="0" collapsed="false">
      <c r="A327" s="11"/>
      <c r="B327" s="6"/>
      <c r="C327" s="11"/>
      <c r="D327" s="11"/>
      <c r="E327" s="8" t="str">
        <f aca="false">IF($A327="","",IF($B327&lt;PlanDate,"Late",""))</f>
        <v/>
      </c>
    </row>
    <row r="328" customFormat="false" ht="15" hidden="false" customHeight="false" outlineLevel="0" collapsed="false">
      <c r="A328" s="11"/>
      <c r="B328" s="6"/>
      <c r="C328" s="11"/>
      <c r="D328" s="11"/>
      <c r="E328" s="8" t="str">
        <f aca="false">IF($A328="","",IF($B328&lt;PlanDate,"Late",""))</f>
        <v/>
      </c>
    </row>
    <row r="329" customFormat="false" ht="15" hidden="false" customHeight="false" outlineLevel="0" collapsed="false">
      <c r="A329" s="11"/>
      <c r="B329" s="6"/>
      <c r="C329" s="11"/>
      <c r="D329" s="11"/>
      <c r="E329" s="8" t="str">
        <f aca="false">IF($A329="","",IF($B329&lt;PlanDate,"Late",""))</f>
        <v/>
      </c>
    </row>
    <row r="330" customFormat="false" ht="15" hidden="false" customHeight="false" outlineLevel="0" collapsed="false">
      <c r="A330" s="11"/>
      <c r="B330" s="6"/>
      <c r="C330" s="11"/>
      <c r="D330" s="11"/>
      <c r="E330" s="8" t="str">
        <f aca="false">IF($A330="","",IF($B330&lt;PlanDate,"Late",""))</f>
        <v/>
      </c>
    </row>
    <row r="331" customFormat="false" ht="15" hidden="false" customHeight="false" outlineLevel="0" collapsed="false">
      <c r="A331" s="11"/>
      <c r="B331" s="6"/>
      <c r="C331" s="11"/>
      <c r="D331" s="11"/>
      <c r="E331" s="8" t="str">
        <f aca="false">IF($A331="","",IF($B331&lt;PlanDate,"Late",""))</f>
        <v/>
      </c>
    </row>
    <row r="332" customFormat="false" ht="15" hidden="false" customHeight="false" outlineLevel="0" collapsed="false">
      <c r="A332" s="11"/>
      <c r="B332" s="6"/>
      <c r="C332" s="11"/>
      <c r="D332" s="11"/>
      <c r="E332" s="8" t="str">
        <f aca="false">IF($A332="","",IF($B332&lt;PlanDate,"Late",""))</f>
        <v/>
      </c>
    </row>
    <row r="333" customFormat="false" ht="15" hidden="false" customHeight="false" outlineLevel="0" collapsed="false">
      <c r="A333" s="11"/>
      <c r="B333" s="6"/>
      <c r="C333" s="11"/>
      <c r="D333" s="11"/>
      <c r="E333" s="8" t="str">
        <f aca="false">IF($A333="","",IF($B333&lt;PlanDate,"Late",""))</f>
        <v/>
      </c>
    </row>
    <row r="334" customFormat="false" ht="15" hidden="false" customHeight="false" outlineLevel="0" collapsed="false">
      <c r="A334" s="11"/>
      <c r="B334" s="6"/>
      <c r="C334" s="11"/>
      <c r="D334" s="11"/>
      <c r="E334" s="8" t="str">
        <f aca="false">IF($A334="","",IF($B334&lt;PlanDate,"Late",""))</f>
        <v/>
      </c>
    </row>
    <row r="335" customFormat="false" ht="15" hidden="false" customHeight="false" outlineLevel="0" collapsed="false">
      <c r="A335" s="11"/>
      <c r="B335" s="6"/>
      <c r="C335" s="11"/>
      <c r="D335" s="11"/>
      <c r="E335" s="8" t="str">
        <f aca="false">IF($A335="","",IF($B335&lt;PlanDate,"Late",""))</f>
        <v/>
      </c>
    </row>
    <row r="336" customFormat="false" ht="15" hidden="false" customHeight="false" outlineLevel="0" collapsed="false">
      <c r="A336" s="11"/>
      <c r="B336" s="6"/>
      <c r="C336" s="11"/>
      <c r="D336" s="11"/>
      <c r="E336" s="8" t="str">
        <f aca="false">IF($A336="","",IF($B336&lt;PlanDate,"Late",""))</f>
        <v/>
      </c>
    </row>
    <row r="337" customFormat="false" ht="15" hidden="false" customHeight="false" outlineLevel="0" collapsed="false">
      <c r="A337" s="11"/>
      <c r="B337" s="6"/>
      <c r="C337" s="11"/>
      <c r="D337" s="11"/>
      <c r="E337" s="8" t="str">
        <f aca="false">IF($A337="","",IF($B337&lt;PlanDate,"Late",""))</f>
        <v/>
      </c>
    </row>
    <row r="338" customFormat="false" ht="15" hidden="false" customHeight="false" outlineLevel="0" collapsed="false">
      <c r="A338" s="11"/>
      <c r="B338" s="6"/>
      <c r="C338" s="11"/>
      <c r="D338" s="11"/>
      <c r="E338" s="8" t="str">
        <f aca="false">IF($A338="","",IF($B338&lt;PlanDate,"Late",""))</f>
        <v/>
      </c>
    </row>
    <row r="339" customFormat="false" ht="15" hidden="false" customHeight="false" outlineLevel="0" collapsed="false">
      <c r="A339" s="11"/>
      <c r="B339" s="6"/>
      <c r="C339" s="11"/>
      <c r="D339" s="11"/>
      <c r="E339" s="8" t="str">
        <f aca="false">IF($A339="","",IF($B339&lt;PlanDate,"Late",""))</f>
        <v/>
      </c>
    </row>
    <row r="340" customFormat="false" ht="15" hidden="false" customHeight="false" outlineLevel="0" collapsed="false">
      <c r="A340" s="11"/>
      <c r="B340" s="6"/>
      <c r="C340" s="11"/>
      <c r="D340" s="11"/>
      <c r="E340" s="8" t="str">
        <f aca="false">IF($A340="","",IF($B340&lt;PlanDate,"Late",""))</f>
        <v/>
      </c>
    </row>
    <row r="341" customFormat="false" ht="15" hidden="false" customHeight="false" outlineLevel="0" collapsed="false">
      <c r="A341" s="11"/>
      <c r="B341" s="6"/>
      <c r="C341" s="11"/>
      <c r="D341" s="11"/>
      <c r="E341" s="8" t="str">
        <f aca="false">IF($A341="","",IF($B341&lt;PlanDate,"Late",""))</f>
        <v/>
      </c>
    </row>
    <row r="342" customFormat="false" ht="15" hidden="false" customHeight="false" outlineLevel="0" collapsed="false">
      <c r="A342" s="11"/>
      <c r="B342" s="6"/>
      <c r="C342" s="11"/>
      <c r="D342" s="11"/>
      <c r="E342" s="8" t="str">
        <f aca="false">IF($A342="","",IF($B342&lt;PlanDate,"Late",""))</f>
        <v/>
      </c>
    </row>
    <row r="343" customFormat="false" ht="15" hidden="false" customHeight="false" outlineLevel="0" collapsed="false">
      <c r="A343" s="11"/>
      <c r="B343" s="6"/>
      <c r="C343" s="11"/>
      <c r="D343" s="11"/>
      <c r="E343" s="8" t="str">
        <f aca="false">IF($A343="","",IF($B343&lt;PlanDate,"Late",""))</f>
        <v/>
      </c>
    </row>
    <row r="344" customFormat="false" ht="15" hidden="false" customHeight="false" outlineLevel="0" collapsed="false">
      <c r="A344" s="11"/>
      <c r="B344" s="6"/>
      <c r="C344" s="11"/>
      <c r="D344" s="11"/>
      <c r="E344" s="8" t="str">
        <f aca="false">IF($A344="","",IF($B344&lt;PlanDate,"Late",""))</f>
        <v/>
      </c>
    </row>
    <row r="345" customFormat="false" ht="15" hidden="false" customHeight="false" outlineLevel="0" collapsed="false">
      <c r="A345" s="11"/>
      <c r="B345" s="6"/>
      <c r="C345" s="11"/>
      <c r="D345" s="11"/>
      <c r="E345" s="8" t="str">
        <f aca="false">IF($A345="","",IF($B345&lt;PlanDate,"Late",""))</f>
        <v/>
      </c>
    </row>
    <row r="346" customFormat="false" ht="15" hidden="false" customHeight="false" outlineLevel="0" collapsed="false">
      <c r="A346" s="11"/>
      <c r="B346" s="6"/>
      <c r="C346" s="11"/>
      <c r="D346" s="11"/>
      <c r="E346" s="8" t="str">
        <f aca="false">IF($A346="","",IF($B346&lt;PlanDate,"Late",""))</f>
        <v/>
      </c>
    </row>
    <row r="347" customFormat="false" ht="15" hidden="false" customHeight="false" outlineLevel="0" collapsed="false">
      <c r="A347" s="11"/>
      <c r="B347" s="6"/>
      <c r="C347" s="11"/>
      <c r="D347" s="11"/>
      <c r="E347" s="8" t="str">
        <f aca="false">IF($A347="","",IF($B347&lt;PlanDate,"Late",""))</f>
        <v/>
      </c>
    </row>
    <row r="348" customFormat="false" ht="15" hidden="false" customHeight="false" outlineLevel="0" collapsed="false">
      <c r="A348" s="11"/>
      <c r="B348" s="6"/>
      <c r="C348" s="11"/>
      <c r="D348" s="11"/>
      <c r="E348" s="8" t="str">
        <f aca="false">IF($A348="","",IF($B348&lt;PlanDate,"Late",""))</f>
        <v/>
      </c>
    </row>
    <row r="349" customFormat="false" ht="15" hidden="false" customHeight="false" outlineLevel="0" collapsed="false">
      <c r="A349" s="11"/>
      <c r="B349" s="6"/>
      <c r="C349" s="11"/>
      <c r="D349" s="11"/>
      <c r="E349" s="8" t="str">
        <f aca="false">IF($A349="","",IF($B349&lt;PlanDate,"Late",""))</f>
        <v/>
      </c>
    </row>
    <row r="350" customFormat="false" ht="15" hidden="false" customHeight="false" outlineLevel="0" collapsed="false">
      <c r="A350" s="11"/>
      <c r="B350" s="6"/>
      <c r="C350" s="11"/>
      <c r="D350" s="11"/>
      <c r="E350" s="8" t="str">
        <f aca="false">IF($A350="","",IF($B350&lt;PlanDate,"Late",""))</f>
        <v/>
      </c>
    </row>
    <row r="351" customFormat="false" ht="15" hidden="false" customHeight="false" outlineLevel="0" collapsed="false">
      <c r="A351" s="11"/>
      <c r="B351" s="6"/>
      <c r="C351" s="11"/>
      <c r="D351" s="11"/>
      <c r="E351" s="8" t="str">
        <f aca="false">IF($A351="","",IF($B351&lt;PlanDate,"Late",""))</f>
        <v/>
      </c>
    </row>
    <row r="352" customFormat="false" ht="15" hidden="false" customHeight="false" outlineLevel="0" collapsed="false">
      <c r="A352" s="11"/>
      <c r="B352" s="6"/>
      <c r="C352" s="11"/>
      <c r="D352" s="11"/>
      <c r="E352" s="8" t="str">
        <f aca="false">IF($A352="","",IF($B352&lt;PlanDate,"Late",""))</f>
        <v/>
      </c>
    </row>
    <row r="353" customFormat="false" ht="15" hidden="false" customHeight="false" outlineLevel="0" collapsed="false">
      <c r="A353" s="11"/>
      <c r="B353" s="6"/>
      <c r="C353" s="11"/>
      <c r="D353" s="11"/>
      <c r="E353" s="8" t="str">
        <f aca="false">IF($A353="","",IF($B353&lt;PlanDate,"Late",""))</f>
        <v/>
      </c>
    </row>
    <row r="354" customFormat="false" ht="15" hidden="false" customHeight="false" outlineLevel="0" collapsed="false">
      <c r="A354" s="11"/>
      <c r="B354" s="6"/>
      <c r="C354" s="11"/>
      <c r="D354" s="11"/>
      <c r="E354" s="8" t="str">
        <f aca="false">IF($A354="","",IF($B354&lt;PlanDate,"Late",""))</f>
        <v/>
      </c>
    </row>
    <row r="355" customFormat="false" ht="15" hidden="false" customHeight="false" outlineLevel="0" collapsed="false">
      <c r="A355" s="11"/>
      <c r="B355" s="6"/>
      <c r="C355" s="11"/>
      <c r="D355" s="11"/>
      <c r="E355" s="8" t="str">
        <f aca="false">IF($A355="","",IF($B355&lt;PlanDate,"Late",""))</f>
        <v/>
      </c>
    </row>
    <row r="356" customFormat="false" ht="15" hidden="false" customHeight="false" outlineLevel="0" collapsed="false">
      <c r="A356" s="11"/>
      <c r="B356" s="6"/>
      <c r="C356" s="11"/>
      <c r="D356" s="11"/>
      <c r="E356" s="8" t="str">
        <f aca="false">IF($A356="","",IF($B356&lt;PlanDate,"Late",""))</f>
        <v/>
      </c>
    </row>
    <row r="357" customFormat="false" ht="15" hidden="false" customHeight="false" outlineLevel="0" collapsed="false">
      <c r="A357" s="11"/>
      <c r="B357" s="6"/>
      <c r="C357" s="11"/>
      <c r="D357" s="11"/>
      <c r="E357" s="8" t="str">
        <f aca="false">IF($A357="","",IF($B357&lt;PlanDate,"Late",""))</f>
        <v/>
      </c>
    </row>
    <row r="358" customFormat="false" ht="15" hidden="false" customHeight="false" outlineLevel="0" collapsed="false">
      <c r="A358" s="11"/>
      <c r="B358" s="6"/>
      <c r="C358" s="11"/>
      <c r="D358" s="11"/>
      <c r="E358" s="8" t="str">
        <f aca="false">IF($A358="","",IF($B358&lt;PlanDate,"Late",""))</f>
        <v/>
      </c>
    </row>
    <row r="359" customFormat="false" ht="15" hidden="false" customHeight="false" outlineLevel="0" collapsed="false">
      <c r="A359" s="11"/>
      <c r="B359" s="6"/>
      <c r="C359" s="11"/>
      <c r="D359" s="11"/>
      <c r="E359" s="8" t="str">
        <f aca="false">IF($A359="","",IF($B359&lt;PlanDate,"Late",""))</f>
        <v/>
      </c>
    </row>
    <row r="360" customFormat="false" ht="15" hidden="false" customHeight="false" outlineLevel="0" collapsed="false">
      <c r="A360" s="11"/>
      <c r="B360" s="6"/>
      <c r="C360" s="11"/>
      <c r="D360" s="11"/>
      <c r="E360" s="8" t="str">
        <f aca="false">IF($A360="","",IF($B360&lt;PlanDate,"Late",""))</f>
        <v/>
      </c>
    </row>
    <row r="361" customFormat="false" ht="15" hidden="false" customHeight="false" outlineLevel="0" collapsed="false">
      <c r="A361" s="11"/>
      <c r="B361" s="6"/>
      <c r="C361" s="11"/>
      <c r="D361" s="11"/>
      <c r="E361" s="8" t="str">
        <f aca="false">IF($A361="","",IF($B361&lt;PlanDate,"Late",""))</f>
        <v/>
      </c>
    </row>
    <row r="362" customFormat="false" ht="15" hidden="false" customHeight="false" outlineLevel="0" collapsed="false">
      <c r="A362" s="11"/>
      <c r="B362" s="6"/>
      <c r="C362" s="11"/>
      <c r="D362" s="11"/>
      <c r="E362" s="8" t="str">
        <f aca="false">IF($A362="","",IF($B362&lt;PlanDate,"Late",""))</f>
        <v/>
      </c>
    </row>
    <row r="363" customFormat="false" ht="15" hidden="false" customHeight="false" outlineLevel="0" collapsed="false">
      <c r="A363" s="11"/>
      <c r="B363" s="6"/>
      <c r="C363" s="11"/>
      <c r="D363" s="11"/>
      <c r="E363" s="8" t="str">
        <f aca="false">IF($A363="","",IF($B363&lt;PlanDate,"Late",""))</f>
        <v/>
      </c>
    </row>
    <row r="364" customFormat="false" ht="15" hidden="false" customHeight="false" outlineLevel="0" collapsed="false">
      <c r="A364" s="11"/>
      <c r="B364" s="6"/>
      <c r="C364" s="11"/>
      <c r="D364" s="11"/>
      <c r="E364" s="8" t="str">
        <f aca="false">IF($A364="","",IF($B364&lt;PlanDate,"Late",""))</f>
        <v/>
      </c>
    </row>
    <row r="365" customFormat="false" ht="15" hidden="false" customHeight="false" outlineLevel="0" collapsed="false">
      <c r="A365" s="11"/>
      <c r="B365" s="6"/>
      <c r="C365" s="11"/>
      <c r="D365" s="11"/>
      <c r="E365" s="8" t="str">
        <f aca="false">IF($A365="","",IF($B365&lt;PlanDate,"Late",""))</f>
        <v/>
      </c>
    </row>
    <row r="366" customFormat="false" ht="15" hidden="false" customHeight="false" outlineLevel="0" collapsed="false">
      <c r="A366" s="11"/>
      <c r="B366" s="6"/>
      <c r="C366" s="11"/>
      <c r="D366" s="11"/>
      <c r="E366" s="8" t="str">
        <f aca="false">IF($A366="","",IF($B366&lt;PlanDate,"Late",""))</f>
        <v/>
      </c>
    </row>
    <row r="367" customFormat="false" ht="15" hidden="false" customHeight="false" outlineLevel="0" collapsed="false">
      <c r="A367" s="11"/>
      <c r="B367" s="6"/>
      <c r="C367" s="11"/>
      <c r="D367" s="11"/>
      <c r="E367" s="8" t="str">
        <f aca="false">IF($A367="","",IF($B367&lt;PlanDate,"Late",""))</f>
        <v/>
      </c>
    </row>
    <row r="368" customFormat="false" ht="15" hidden="false" customHeight="false" outlineLevel="0" collapsed="false">
      <c r="A368" s="11"/>
      <c r="B368" s="6"/>
      <c r="C368" s="11"/>
      <c r="D368" s="11"/>
      <c r="E368" s="8" t="str">
        <f aca="false">IF($A368="","",IF($B368&lt;PlanDate,"Late",""))</f>
        <v/>
      </c>
    </row>
    <row r="369" customFormat="false" ht="15" hidden="false" customHeight="false" outlineLevel="0" collapsed="false">
      <c r="A369" s="11"/>
      <c r="B369" s="6"/>
      <c r="C369" s="11"/>
      <c r="D369" s="11"/>
      <c r="E369" s="8" t="str">
        <f aca="false">IF($A369="","",IF($B369&lt;PlanDate,"Late",""))</f>
        <v/>
      </c>
    </row>
    <row r="370" customFormat="false" ht="15" hidden="false" customHeight="false" outlineLevel="0" collapsed="false">
      <c r="A370" s="11"/>
      <c r="B370" s="6"/>
      <c r="C370" s="11"/>
      <c r="D370" s="11"/>
      <c r="E370" s="8" t="str">
        <f aca="false">IF($A370="","",IF($B370&lt;PlanDate,"Late",""))</f>
        <v/>
      </c>
    </row>
    <row r="371" customFormat="false" ht="15" hidden="false" customHeight="false" outlineLevel="0" collapsed="false">
      <c r="A371" s="11"/>
      <c r="B371" s="6"/>
      <c r="C371" s="11"/>
      <c r="D371" s="11"/>
      <c r="E371" s="8" t="str">
        <f aca="false">IF($A371="","",IF($B371&lt;PlanDate,"Late",""))</f>
        <v/>
      </c>
    </row>
    <row r="372" customFormat="false" ht="15" hidden="false" customHeight="false" outlineLevel="0" collapsed="false">
      <c r="A372" s="11"/>
      <c r="B372" s="6"/>
      <c r="C372" s="11"/>
      <c r="D372" s="11"/>
      <c r="E372" s="8" t="str">
        <f aca="false">IF($A372="","",IF($B372&lt;PlanDate,"Late",""))</f>
        <v/>
      </c>
    </row>
    <row r="373" customFormat="false" ht="15" hidden="false" customHeight="false" outlineLevel="0" collapsed="false">
      <c r="A373" s="11"/>
      <c r="B373" s="6"/>
      <c r="C373" s="11"/>
      <c r="D373" s="11"/>
      <c r="E373" s="8" t="str">
        <f aca="false">IF($A373="","",IF($B373&lt;PlanDate,"Late",""))</f>
        <v/>
      </c>
    </row>
    <row r="374" customFormat="false" ht="15" hidden="false" customHeight="false" outlineLevel="0" collapsed="false">
      <c r="A374" s="11"/>
      <c r="B374" s="6"/>
      <c r="C374" s="11"/>
      <c r="D374" s="11"/>
      <c r="E374" s="8" t="str">
        <f aca="false">IF($A374="","",IF($B374&lt;PlanDate,"Late",""))</f>
        <v/>
      </c>
    </row>
    <row r="375" customFormat="false" ht="15" hidden="false" customHeight="false" outlineLevel="0" collapsed="false">
      <c r="A375" s="11"/>
      <c r="B375" s="6"/>
      <c r="C375" s="11"/>
      <c r="D375" s="11"/>
      <c r="E375" s="8" t="str">
        <f aca="false">IF($A375="","",IF($B375&lt;PlanDate,"Late",""))</f>
        <v/>
      </c>
    </row>
    <row r="376" customFormat="false" ht="15" hidden="false" customHeight="false" outlineLevel="0" collapsed="false">
      <c r="A376" s="11"/>
      <c r="B376" s="6"/>
      <c r="C376" s="11"/>
      <c r="D376" s="11"/>
      <c r="E376" s="8" t="str">
        <f aca="false">IF($A376="","",IF($B376&lt;PlanDate,"Late",""))</f>
        <v/>
      </c>
    </row>
    <row r="377" customFormat="false" ht="15" hidden="false" customHeight="false" outlineLevel="0" collapsed="false">
      <c r="A377" s="11"/>
      <c r="B377" s="6"/>
      <c r="C377" s="11"/>
      <c r="D377" s="11"/>
      <c r="E377" s="8" t="str">
        <f aca="false">IF($A377="","",IF($B377&lt;PlanDate,"Late",""))</f>
        <v/>
      </c>
    </row>
    <row r="378" customFormat="false" ht="15" hidden="false" customHeight="false" outlineLevel="0" collapsed="false">
      <c r="A378" s="11"/>
      <c r="B378" s="6"/>
      <c r="C378" s="11"/>
      <c r="D378" s="11"/>
      <c r="E378" s="8" t="str">
        <f aca="false">IF($A378="","",IF($B378&lt;PlanDate,"Late",""))</f>
        <v/>
      </c>
    </row>
    <row r="379" customFormat="false" ht="15" hidden="false" customHeight="false" outlineLevel="0" collapsed="false">
      <c r="A379" s="11"/>
      <c r="B379" s="6"/>
      <c r="C379" s="11"/>
      <c r="D379" s="11"/>
      <c r="E379" s="8" t="str">
        <f aca="false">IF($A379="","",IF($B379&lt;PlanDate,"Late",""))</f>
        <v/>
      </c>
    </row>
    <row r="380" customFormat="false" ht="15" hidden="false" customHeight="false" outlineLevel="0" collapsed="false">
      <c r="A380" s="11"/>
      <c r="B380" s="6"/>
      <c r="C380" s="11"/>
      <c r="D380" s="11"/>
      <c r="E380" s="8" t="str">
        <f aca="false">IF($A380="","",IF($B380&lt;PlanDate,"Late",""))</f>
        <v/>
      </c>
    </row>
    <row r="381" customFormat="false" ht="15" hidden="false" customHeight="false" outlineLevel="0" collapsed="false">
      <c r="A381" s="11"/>
      <c r="B381" s="6"/>
      <c r="C381" s="11"/>
      <c r="D381" s="11"/>
      <c r="E381" s="8" t="str">
        <f aca="false">IF($A381="","",IF($B381&lt;PlanDate,"Late",""))</f>
        <v/>
      </c>
    </row>
    <row r="382" customFormat="false" ht="15" hidden="false" customHeight="false" outlineLevel="0" collapsed="false">
      <c r="A382" s="11"/>
      <c r="B382" s="6"/>
      <c r="C382" s="11"/>
      <c r="D382" s="11"/>
      <c r="E382" s="8" t="str">
        <f aca="false">IF($A382="","",IF($B382&lt;PlanDate,"Late",""))</f>
        <v/>
      </c>
    </row>
    <row r="383" customFormat="false" ht="15" hidden="false" customHeight="false" outlineLevel="0" collapsed="false">
      <c r="A383" s="11"/>
      <c r="B383" s="6"/>
      <c r="C383" s="11"/>
      <c r="D383" s="11"/>
      <c r="E383" s="8" t="str">
        <f aca="false">IF($A383="","",IF($B383&lt;PlanDate,"Late",""))</f>
        <v/>
      </c>
    </row>
    <row r="384" customFormat="false" ht="15" hidden="false" customHeight="false" outlineLevel="0" collapsed="false">
      <c r="A384" s="11"/>
      <c r="B384" s="6"/>
      <c r="C384" s="11"/>
      <c r="D384" s="11"/>
      <c r="E384" s="8" t="str">
        <f aca="false">IF($A384="","",IF($B384&lt;PlanDate,"Late",""))</f>
        <v/>
      </c>
    </row>
    <row r="385" customFormat="false" ht="15" hidden="false" customHeight="false" outlineLevel="0" collapsed="false">
      <c r="A385" s="11"/>
      <c r="B385" s="6"/>
      <c r="C385" s="11"/>
      <c r="D385" s="11"/>
      <c r="E385" s="8" t="str">
        <f aca="false">IF($A385="","",IF($B385&lt;PlanDate,"Late",""))</f>
        <v/>
      </c>
    </row>
    <row r="386" customFormat="false" ht="15" hidden="false" customHeight="false" outlineLevel="0" collapsed="false">
      <c r="A386" s="11"/>
      <c r="B386" s="6"/>
      <c r="C386" s="11"/>
      <c r="D386" s="11"/>
      <c r="E386" s="8" t="str">
        <f aca="false">IF($A386="","",IF($B386&lt;PlanDate,"Late",""))</f>
        <v/>
      </c>
    </row>
    <row r="387" customFormat="false" ht="15" hidden="false" customHeight="false" outlineLevel="0" collapsed="false">
      <c r="A387" s="11"/>
      <c r="B387" s="6"/>
      <c r="C387" s="11"/>
      <c r="D387" s="11"/>
      <c r="E387" s="8" t="str">
        <f aca="false">IF($A387="","",IF($B387&lt;PlanDate,"Late",""))</f>
        <v/>
      </c>
    </row>
    <row r="388" customFormat="false" ht="15" hidden="false" customHeight="false" outlineLevel="0" collapsed="false">
      <c r="A388" s="11"/>
      <c r="B388" s="6"/>
      <c r="C388" s="11"/>
      <c r="D388" s="11"/>
      <c r="E388" s="8" t="str">
        <f aca="false">IF($A388="","",IF($B388&lt;PlanDate,"Late",""))</f>
        <v/>
      </c>
    </row>
    <row r="389" customFormat="false" ht="15" hidden="false" customHeight="false" outlineLevel="0" collapsed="false">
      <c r="A389" s="11"/>
      <c r="B389" s="6"/>
      <c r="C389" s="11"/>
      <c r="D389" s="11"/>
      <c r="E389" s="8" t="str">
        <f aca="false">IF($A389="","",IF($B389&lt;PlanDate,"Late",""))</f>
        <v/>
      </c>
    </row>
    <row r="390" customFormat="false" ht="15" hidden="false" customHeight="false" outlineLevel="0" collapsed="false">
      <c r="A390" s="11"/>
      <c r="B390" s="6"/>
      <c r="C390" s="11"/>
      <c r="D390" s="11"/>
      <c r="E390" s="8" t="str">
        <f aca="false">IF($A390="","",IF($B390&lt;PlanDate,"Late",""))</f>
        <v/>
      </c>
    </row>
    <row r="391" customFormat="false" ht="15" hidden="false" customHeight="false" outlineLevel="0" collapsed="false">
      <c r="A391" s="11"/>
      <c r="B391" s="6"/>
      <c r="C391" s="11"/>
      <c r="D391" s="11"/>
      <c r="E391" s="8" t="str">
        <f aca="false">IF($A391="","",IF($B391&lt;PlanDate,"Late",""))</f>
        <v/>
      </c>
    </row>
    <row r="392" customFormat="false" ht="15" hidden="false" customHeight="false" outlineLevel="0" collapsed="false">
      <c r="A392" s="11"/>
      <c r="B392" s="6"/>
      <c r="C392" s="11"/>
      <c r="D392" s="11"/>
      <c r="E392" s="8" t="str">
        <f aca="false">IF($A392="","",IF($B392&lt;PlanDate,"Late",""))</f>
        <v/>
      </c>
    </row>
    <row r="393" customFormat="false" ht="15" hidden="false" customHeight="false" outlineLevel="0" collapsed="false">
      <c r="A393" s="11"/>
      <c r="B393" s="6"/>
      <c r="C393" s="11"/>
      <c r="D393" s="11"/>
      <c r="E393" s="8" t="str">
        <f aca="false">IF($A393="","",IF($B393&lt;PlanDate,"Late",""))</f>
        <v/>
      </c>
    </row>
    <row r="394" customFormat="false" ht="15" hidden="false" customHeight="false" outlineLevel="0" collapsed="false">
      <c r="A394" s="11"/>
      <c r="B394" s="6"/>
      <c r="C394" s="11"/>
      <c r="D394" s="11"/>
      <c r="E394" s="8" t="str">
        <f aca="false">IF($A394="","",IF($B394&lt;PlanDate,"Late",""))</f>
        <v/>
      </c>
    </row>
    <row r="395" customFormat="false" ht="15" hidden="false" customHeight="false" outlineLevel="0" collapsed="false">
      <c r="A395" s="11"/>
      <c r="B395" s="6"/>
      <c r="C395" s="11"/>
      <c r="D395" s="11"/>
      <c r="E395" s="8" t="str">
        <f aca="false">IF($A395="","",IF($B395&lt;PlanDate,"Late",""))</f>
        <v/>
      </c>
    </row>
    <row r="396" customFormat="false" ht="15" hidden="false" customHeight="false" outlineLevel="0" collapsed="false">
      <c r="A396" s="11"/>
      <c r="B396" s="6"/>
      <c r="C396" s="11"/>
      <c r="D396" s="11"/>
      <c r="E396" s="8" t="str">
        <f aca="false">IF($A396="","",IF($B396&lt;PlanDate,"Late",""))</f>
        <v/>
      </c>
    </row>
    <row r="397" customFormat="false" ht="15" hidden="false" customHeight="false" outlineLevel="0" collapsed="false">
      <c r="A397" s="11"/>
      <c r="B397" s="6"/>
      <c r="C397" s="11"/>
      <c r="D397" s="11"/>
      <c r="E397" s="8" t="str">
        <f aca="false">IF($A397="","",IF($B397&lt;PlanDate,"Late",""))</f>
        <v/>
      </c>
    </row>
    <row r="398" customFormat="false" ht="15" hidden="false" customHeight="false" outlineLevel="0" collapsed="false">
      <c r="A398" s="11"/>
      <c r="B398" s="6"/>
      <c r="C398" s="11"/>
      <c r="D398" s="11"/>
      <c r="E398" s="8" t="str">
        <f aca="false">IF($A398="","",IF($B398&lt;PlanDate,"Late",""))</f>
        <v/>
      </c>
    </row>
    <row r="399" customFormat="false" ht="15" hidden="false" customHeight="false" outlineLevel="0" collapsed="false">
      <c r="A399" s="11"/>
      <c r="B399" s="6"/>
      <c r="C399" s="11"/>
      <c r="D399" s="11"/>
      <c r="E399" s="8" t="str">
        <f aca="false">IF($A399="","",IF($B399&lt;PlanDate,"Late",""))</f>
        <v/>
      </c>
    </row>
    <row r="400" customFormat="false" ht="15" hidden="false" customHeight="false" outlineLevel="0" collapsed="false">
      <c r="A400" s="11"/>
      <c r="B400" s="6"/>
      <c r="C400" s="11"/>
      <c r="D400" s="11"/>
      <c r="E400" s="8" t="str">
        <f aca="false">IF($A400="","",IF($B400&lt;PlanDate,"Late",""))</f>
        <v/>
      </c>
    </row>
    <row r="401" customFormat="false" ht="15" hidden="false" customHeight="false" outlineLevel="0" collapsed="false">
      <c r="A401" s="11"/>
      <c r="B401" s="6"/>
      <c r="C401" s="11"/>
      <c r="D401" s="11"/>
      <c r="E401" s="8" t="str">
        <f aca="false">IF($A401="","",IF($B401&lt;PlanDate,"Late",""))</f>
        <v/>
      </c>
    </row>
    <row r="402" customFormat="false" ht="15" hidden="false" customHeight="false" outlineLevel="0" collapsed="false">
      <c r="A402" s="11"/>
      <c r="B402" s="6"/>
      <c r="C402" s="11"/>
      <c r="D402" s="11"/>
      <c r="E402" s="8" t="str">
        <f aca="false">IF($A402="","",IF($B402&lt;PlanDate,"Late",""))</f>
        <v/>
      </c>
    </row>
    <row r="403" customFormat="false" ht="15" hidden="false" customHeight="false" outlineLevel="0" collapsed="false">
      <c r="A403" s="11"/>
      <c r="B403" s="6"/>
      <c r="C403" s="11"/>
      <c r="D403" s="11"/>
      <c r="E403" s="8" t="str">
        <f aca="false">IF($A403="","",IF($B403&lt;PlanDate,"Late",""))</f>
        <v/>
      </c>
    </row>
    <row r="404" customFormat="false" ht="15" hidden="false" customHeight="false" outlineLevel="0" collapsed="false">
      <c r="A404" s="11"/>
      <c r="B404" s="6"/>
      <c r="C404" s="11"/>
      <c r="D404" s="11"/>
      <c r="E404" s="8" t="str">
        <f aca="false">IF($A404="","",IF($B404&lt;PlanDate,"Late",""))</f>
        <v/>
      </c>
    </row>
    <row r="405" customFormat="false" ht="15" hidden="false" customHeight="false" outlineLevel="0" collapsed="false">
      <c r="A405" s="11"/>
      <c r="B405" s="6"/>
      <c r="C405" s="11"/>
      <c r="D405" s="11"/>
      <c r="E405" s="8" t="str">
        <f aca="false">IF($A405="","",IF($B405&lt;PlanDate,"Late",""))</f>
        <v/>
      </c>
    </row>
    <row r="406" customFormat="false" ht="15" hidden="false" customHeight="false" outlineLevel="0" collapsed="false">
      <c r="A406" s="11"/>
      <c r="B406" s="6"/>
      <c r="C406" s="11"/>
      <c r="D406" s="11"/>
      <c r="E406" s="8" t="str">
        <f aca="false">IF($A406="","",IF($B406&lt;PlanDate,"Late",""))</f>
        <v/>
      </c>
    </row>
    <row r="407" customFormat="false" ht="15" hidden="false" customHeight="false" outlineLevel="0" collapsed="false">
      <c r="A407" s="11"/>
      <c r="B407" s="6"/>
      <c r="C407" s="11"/>
      <c r="D407" s="11"/>
      <c r="E407" s="8" t="str">
        <f aca="false">IF($A407="","",IF($B407&lt;PlanDate,"Late",""))</f>
        <v/>
      </c>
    </row>
    <row r="408" customFormat="false" ht="15" hidden="false" customHeight="false" outlineLevel="0" collapsed="false">
      <c r="A408" s="11"/>
      <c r="B408" s="6"/>
      <c r="C408" s="11"/>
      <c r="D408" s="11"/>
      <c r="E408" s="8" t="str">
        <f aca="false">IF($A408="","",IF($B408&lt;PlanDate,"Late",""))</f>
        <v/>
      </c>
    </row>
    <row r="409" customFormat="false" ht="15" hidden="false" customHeight="false" outlineLevel="0" collapsed="false">
      <c r="A409" s="11"/>
      <c r="B409" s="6"/>
      <c r="C409" s="11"/>
      <c r="D409" s="11"/>
      <c r="E409" s="8" t="str">
        <f aca="false">IF($A409="","",IF($B409&lt;PlanDate,"Late",""))</f>
        <v/>
      </c>
    </row>
    <row r="410" customFormat="false" ht="15" hidden="false" customHeight="false" outlineLevel="0" collapsed="false">
      <c r="A410" s="11"/>
      <c r="B410" s="6"/>
      <c r="C410" s="11"/>
      <c r="D410" s="11"/>
      <c r="E410" s="8" t="str">
        <f aca="false">IF($A410="","",IF($B410&lt;PlanDate,"Late",""))</f>
        <v/>
      </c>
    </row>
    <row r="411" customFormat="false" ht="15" hidden="false" customHeight="false" outlineLevel="0" collapsed="false">
      <c r="A411" s="11"/>
      <c r="B411" s="6"/>
      <c r="C411" s="11"/>
      <c r="D411" s="11"/>
      <c r="E411" s="8" t="str">
        <f aca="false">IF($A411="","",IF($B411&lt;PlanDate,"Late",""))</f>
        <v/>
      </c>
    </row>
    <row r="412" customFormat="false" ht="15" hidden="false" customHeight="false" outlineLevel="0" collapsed="false">
      <c r="A412" s="11"/>
      <c r="B412" s="6"/>
      <c r="C412" s="11"/>
      <c r="D412" s="11"/>
      <c r="E412" s="8" t="str">
        <f aca="false">IF($A412="","",IF($B412&lt;PlanDate,"Late",""))</f>
        <v/>
      </c>
    </row>
    <row r="413" customFormat="false" ht="15" hidden="false" customHeight="false" outlineLevel="0" collapsed="false">
      <c r="A413" s="11"/>
      <c r="B413" s="6"/>
      <c r="C413" s="11"/>
      <c r="D413" s="11"/>
      <c r="E413" s="8" t="str">
        <f aca="false">IF($A413="","",IF($B413&lt;PlanDate,"Late",""))</f>
        <v/>
      </c>
    </row>
    <row r="414" customFormat="false" ht="15" hidden="false" customHeight="false" outlineLevel="0" collapsed="false">
      <c r="A414" s="11"/>
      <c r="B414" s="6"/>
      <c r="C414" s="11"/>
      <c r="D414" s="11"/>
      <c r="E414" s="8" t="str">
        <f aca="false">IF($A414="","",IF($B414&lt;PlanDate,"Late",""))</f>
        <v/>
      </c>
    </row>
    <row r="415" customFormat="false" ht="15" hidden="false" customHeight="false" outlineLevel="0" collapsed="false">
      <c r="A415" s="11"/>
      <c r="B415" s="6"/>
      <c r="C415" s="11"/>
      <c r="D415" s="11"/>
      <c r="E415" s="8" t="str">
        <f aca="false">IF($A415="","",IF($B415&lt;PlanDate,"Late",""))</f>
        <v/>
      </c>
    </row>
    <row r="416" customFormat="false" ht="15" hidden="false" customHeight="false" outlineLevel="0" collapsed="false">
      <c r="A416" s="11"/>
      <c r="B416" s="6"/>
      <c r="C416" s="11"/>
      <c r="D416" s="11"/>
      <c r="E416" s="8" t="str">
        <f aca="false">IF($A416="","",IF($B416&lt;PlanDate,"Late",""))</f>
        <v/>
      </c>
    </row>
    <row r="417" customFormat="false" ht="15" hidden="false" customHeight="false" outlineLevel="0" collapsed="false">
      <c r="A417" s="11"/>
      <c r="B417" s="6"/>
      <c r="C417" s="11"/>
      <c r="D417" s="11"/>
      <c r="E417" s="8" t="str">
        <f aca="false">IF($A417="","",IF($B417&lt;PlanDate,"Late",""))</f>
        <v/>
      </c>
    </row>
    <row r="418" customFormat="false" ht="15" hidden="false" customHeight="false" outlineLevel="0" collapsed="false">
      <c r="A418" s="11"/>
      <c r="B418" s="6"/>
      <c r="C418" s="11"/>
      <c r="D418" s="11"/>
      <c r="E418" s="8" t="str">
        <f aca="false">IF($A418="","",IF($B418&lt;PlanDate,"Late",""))</f>
        <v/>
      </c>
    </row>
    <row r="419" customFormat="false" ht="15" hidden="false" customHeight="false" outlineLevel="0" collapsed="false">
      <c r="A419" s="11"/>
      <c r="B419" s="6"/>
      <c r="C419" s="11"/>
      <c r="D419" s="11"/>
      <c r="E419" s="8" t="str">
        <f aca="false">IF($A419="","",IF($B419&lt;PlanDate,"Late",""))</f>
        <v/>
      </c>
    </row>
    <row r="420" customFormat="false" ht="15" hidden="false" customHeight="false" outlineLevel="0" collapsed="false">
      <c r="A420" s="11"/>
      <c r="B420" s="6"/>
      <c r="C420" s="11"/>
      <c r="D420" s="11"/>
      <c r="E420" s="8" t="str">
        <f aca="false">IF($A420="","",IF($B420&lt;PlanDate,"Late",""))</f>
        <v/>
      </c>
    </row>
    <row r="421" customFormat="false" ht="15" hidden="false" customHeight="false" outlineLevel="0" collapsed="false">
      <c r="A421" s="11"/>
      <c r="B421" s="6"/>
      <c r="C421" s="11"/>
      <c r="D421" s="11"/>
      <c r="E421" s="8" t="str">
        <f aca="false">IF($A421="","",IF($B421&lt;PlanDate,"Late",""))</f>
        <v/>
      </c>
    </row>
    <row r="422" customFormat="false" ht="15" hidden="false" customHeight="false" outlineLevel="0" collapsed="false">
      <c r="A422" s="11"/>
      <c r="B422" s="6"/>
      <c r="C422" s="11"/>
      <c r="D422" s="11"/>
      <c r="E422" s="8" t="str">
        <f aca="false">IF($A422="","",IF($B422&lt;PlanDate,"Late",""))</f>
        <v/>
      </c>
    </row>
    <row r="423" customFormat="false" ht="15" hidden="false" customHeight="false" outlineLevel="0" collapsed="false">
      <c r="A423" s="11"/>
      <c r="B423" s="6"/>
      <c r="C423" s="11"/>
      <c r="D423" s="11"/>
      <c r="E423" s="8" t="str">
        <f aca="false">IF($A423="","",IF($B423&lt;PlanDate,"Late",""))</f>
        <v/>
      </c>
    </row>
    <row r="424" customFormat="false" ht="15" hidden="false" customHeight="false" outlineLevel="0" collapsed="false">
      <c r="A424" s="11"/>
      <c r="B424" s="6"/>
      <c r="C424" s="11"/>
      <c r="D424" s="11"/>
      <c r="E424" s="8" t="str">
        <f aca="false">IF($A424="","",IF($B424&lt;PlanDate,"Late",""))</f>
        <v/>
      </c>
    </row>
    <row r="425" customFormat="false" ht="15" hidden="false" customHeight="false" outlineLevel="0" collapsed="false">
      <c r="A425" s="11"/>
      <c r="B425" s="6"/>
      <c r="C425" s="11"/>
      <c r="D425" s="11"/>
      <c r="E425" s="8" t="str">
        <f aca="false">IF($A425="","",IF($B425&lt;PlanDate,"Late",""))</f>
        <v/>
      </c>
    </row>
    <row r="426" customFormat="false" ht="15" hidden="false" customHeight="false" outlineLevel="0" collapsed="false">
      <c r="A426" s="11"/>
      <c r="B426" s="6"/>
      <c r="C426" s="11"/>
      <c r="D426" s="11"/>
      <c r="E426" s="8" t="str">
        <f aca="false">IF($A426="","",IF($B426&lt;PlanDate,"Late",""))</f>
        <v/>
      </c>
    </row>
    <row r="427" customFormat="false" ht="15" hidden="false" customHeight="false" outlineLevel="0" collapsed="false">
      <c r="A427" s="11"/>
      <c r="B427" s="6"/>
      <c r="C427" s="11"/>
      <c r="D427" s="11"/>
      <c r="E427" s="8" t="str">
        <f aca="false">IF($A427="","",IF($B427&lt;PlanDate,"Late",""))</f>
        <v/>
      </c>
    </row>
    <row r="428" customFormat="false" ht="15" hidden="false" customHeight="false" outlineLevel="0" collapsed="false">
      <c r="A428" s="11"/>
      <c r="B428" s="6"/>
      <c r="C428" s="11"/>
      <c r="D428" s="11"/>
      <c r="E428" s="8" t="str">
        <f aca="false">IF($A428="","",IF($B428&lt;PlanDate,"Late",""))</f>
        <v/>
      </c>
    </row>
    <row r="429" customFormat="false" ht="15" hidden="false" customHeight="false" outlineLevel="0" collapsed="false">
      <c r="A429" s="11"/>
      <c r="B429" s="6"/>
      <c r="C429" s="11"/>
      <c r="D429" s="11"/>
      <c r="E429" s="8" t="str">
        <f aca="false">IF($A429="","",IF($B429&lt;PlanDate,"Late",""))</f>
        <v/>
      </c>
    </row>
    <row r="430" customFormat="false" ht="15" hidden="false" customHeight="false" outlineLevel="0" collapsed="false">
      <c r="A430" s="11"/>
      <c r="B430" s="6"/>
      <c r="C430" s="11"/>
      <c r="D430" s="11"/>
      <c r="E430" s="8" t="str">
        <f aca="false">IF($A430="","",IF($B430&lt;PlanDate,"Late",""))</f>
        <v/>
      </c>
    </row>
    <row r="431" customFormat="false" ht="15" hidden="false" customHeight="false" outlineLevel="0" collapsed="false">
      <c r="A431" s="11"/>
      <c r="B431" s="6"/>
      <c r="C431" s="11"/>
      <c r="D431" s="11"/>
      <c r="E431" s="8" t="str">
        <f aca="false">IF($A431="","",IF($B431&lt;PlanDate,"Late",""))</f>
        <v/>
      </c>
    </row>
    <row r="432" customFormat="false" ht="15" hidden="false" customHeight="false" outlineLevel="0" collapsed="false">
      <c r="A432" s="11"/>
      <c r="B432" s="6"/>
      <c r="C432" s="11"/>
      <c r="D432" s="11"/>
      <c r="E432" s="8" t="str">
        <f aca="false">IF($A432="","",IF($B432&lt;PlanDate,"Late",""))</f>
        <v/>
      </c>
    </row>
    <row r="433" customFormat="false" ht="15" hidden="false" customHeight="false" outlineLevel="0" collapsed="false">
      <c r="A433" s="11"/>
      <c r="B433" s="6"/>
      <c r="C433" s="11"/>
      <c r="D433" s="11"/>
      <c r="E433" s="8" t="str">
        <f aca="false">IF($A433="","",IF($B433&lt;PlanDate,"Late",""))</f>
        <v/>
      </c>
    </row>
    <row r="434" customFormat="false" ht="15" hidden="false" customHeight="false" outlineLevel="0" collapsed="false">
      <c r="A434" s="11"/>
      <c r="B434" s="6"/>
      <c r="C434" s="11"/>
      <c r="D434" s="11"/>
      <c r="E434" s="8" t="str">
        <f aca="false">IF($A434="","",IF($B434&lt;PlanDate,"Late",""))</f>
        <v/>
      </c>
    </row>
    <row r="435" customFormat="false" ht="15" hidden="false" customHeight="false" outlineLevel="0" collapsed="false">
      <c r="A435" s="11"/>
      <c r="B435" s="6"/>
      <c r="C435" s="11"/>
      <c r="D435" s="11"/>
      <c r="E435" s="8" t="str">
        <f aca="false">IF($A435="","",IF($B435&lt;PlanDate,"Late",""))</f>
        <v/>
      </c>
    </row>
    <row r="436" customFormat="false" ht="15" hidden="false" customHeight="false" outlineLevel="0" collapsed="false">
      <c r="A436" s="11"/>
      <c r="B436" s="6"/>
      <c r="C436" s="11"/>
      <c r="D436" s="11"/>
      <c r="E436" s="8" t="str">
        <f aca="false">IF($A436="","",IF($B436&lt;PlanDate,"Late",""))</f>
        <v/>
      </c>
    </row>
    <row r="437" customFormat="false" ht="15" hidden="false" customHeight="false" outlineLevel="0" collapsed="false">
      <c r="A437" s="11"/>
      <c r="B437" s="6"/>
      <c r="C437" s="11"/>
      <c r="D437" s="11"/>
      <c r="E437" s="8" t="str">
        <f aca="false">IF($A437="","",IF($B437&lt;PlanDate,"Late",""))</f>
        <v/>
      </c>
    </row>
    <row r="438" customFormat="false" ht="15" hidden="false" customHeight="false" outlineLevel="0" collapsed="false">
      <c r="A438" s="11"/>
      <c r="B438" s="6"/>
      <c r="C438" s="11"/>
      <c r="D438" s="11"/>
      <c r="E438" s="8" t="str">
        <f aca="false">IF($A438="","",IF($B438&lt;PlanDate,"Late",""))</f>
        <v/>
      </c>
    </row>
    <row r="439" customFormat="false" ht="15" hidden="false" customHeight="false" outlineLevel="0" collapsed="false">
      <c r="A439" s="11"/>
      <c r="B439" s="6"/>
      <c r="C439" s="11"/>
      <c r="D439" s="11"/>
      <c r="E439" s="8" t="str">
        <f aca="false">IF($A439="","",IF($B439&lt;PlanDate,"Late",""))</f>
        <v/>
      </c>
    </row>
    <row r="440" customFormat="false" ht="15" hidden="false" customHeight="false" outlineLevel="0" collapsed="false">
      <c r="A440" s="11"/>
      <c r="B440" s="6"/>
      <c r="C440" s="11"/>
      <c r="D440" s="11"/>
      <c r="E440" s="8" t="str">
        <f aca="false">IF($A440="","",IF($B440&lt;PlanDate,"Late",""))</f>
        <v/>
      </c>
    </row>
    <row r="441" customFormat="false" ht="15" hidden="false" customHeight="false" outlineLevel="0" collapsed="false">
      <c r="A441" s="11"/>
      <c r="B441" s="6"/>
      <c r="C441" s="11"/>
      <c r="D441" s="11"/>
      <c r="E441" s="8" t="str">
        <f aca="false">IF($A441="","",IF($B441&lt;PlanDate,"Late",""))</f>
        <v/>
      </c>
    </row>
    <row r="442" customFormat="false" ht="15" hidden="false" customHeight="false" outlineLevel="0" collapsed="false">
      <c r="A442" s="11"/>
      <c r="B442" s="6"/>
      <c r="C442" s="11"/>
      <c r="D442" s="11"/>
      <c r="E442" s="8" t="str">
        <f aca="false">IF($A442="","",IF($B442&lt;PlanDate,"Late",""))</f>
        <v/>
      </c>
    </row>
    <row r="443" customFormat="false" ht="15" hidden="false" customHeight="false" outlineLevel="0" collapsed="false">
      <c r="A443" s="11"/>
      <c r="B443" s="6"/>
      <c r="C443" s="11"/>
      <c r="D443" s="11"/>
      <c r="E443" s="8" t="str">
        <f aca="false">IF($A443="","",IF($B443&lt;PlanDate,"Late",""))</f>
        <v/>
      </c>
    </row>
    <row r="444" customFormat="false" ht="15" hidden="false" customHeight="false" outlineLevel="0" collapsed="false">
      <c r="A444" s="11"/>
      <c r="B444" s="6"/>
      <c r="C444" s="11"/>
      <c r="D444" s="11"/>
      <c r="E444" s="8" t="str">
        <f aca="false">IF($A444="","",IF($B444&lt;PlanDate,"Late",""))</f>
        <v/>
      </c>
    </row>
    <row r="445" customFormat="false" ht="15" hidden="false" customHeight="false" outlineLevel="0" collapsed="false">
      <c r="A445" s="11"/>
      <c r="B445" s="6"/>
      <c r="C445" s="11"/>
      <c r="D445" s="11"/>
      <c r="E445" s="8" t="str">
        <f aca="false">IF($A445="","",IF($B445&lt;PlanDate,"Late",""))</f>
        <v/>
      </c>
    </row>
    <row r="446" customFormat="false" ht="15" hidden="false" customHeight="false" outlineLevel="0" collapsed="false">
      <c r="A446" s="11"/>
      <c r="B446" s="6"/>
      <c r="C446" s="11"/>
      <c r="D446" s="11"/>
      <c r="E446" s="8" t="str">
        <f aca="false">IF($A446="","",IF($B446&lt;PlanDate,"Late",""))</f>
        <v/>
      </c>
    </row>
    <row r="447" customFormat="false" ht="15" hidden="false" customHeight="false" outlineLevel="0" collapsed="false">
      <c r="A447" s="11"/>
      <c r="B447" s="6"/>
      <c r="C447" s="11"/>
      <c r="D447" s="11"/>
      <c r="E447" s="8" t="str">
        <f aca="false">IF($A447="","",IF($B447&lt;PlanDate,"Late",""))</f>
        <v/>
      </c>
    </row>
    <row r="448" customFormat="false" ht="15" hidden="false" customHeight="false" outlineLevel="0" collapsed="false">
      <c r="A448" s="11"/>
      <c r="B448" s="6"/>
      <c r="C448" s="11"/>
      <c r="D448" s="11"/>
      <c r="E448" s="8" t="str">
        <f aca="false">IF($A448="","",IF($B448&lt;PlanDate,"Late",""))</f>
        <v/>
      </c>
    </row>
    <row r="449" customFormat="false" ht="15" hidden="false" customHeight="false" outlineLevel="0" collapsed="false">
      <c r="A449" s="11"/>
      <c r="B449" s="6"/>
      <c r="C449" s="11"/>
      <c r="D449" s="11"/>
      <c r="E449" s="8" t="str">
        <f aca="false">IF($A449="","",IF($B449&lt;PlanDate,"Late",""))</f>
        <v/>
      </c>
    </row>
    <row r="450" customFormat="false" ht="15" hidden="false" customHeight="false" outlineLevel="0" collapsed="false">
      <c r="A450" s="11"/>
      <c r="B450" s="6"/>
      <c r="C450" s="11"/>
      <c r="D450" s="11"/>
      <c r="E450" s="8" t="str">
        <f aca="false">IF($A450="","",IF($B450&lt;PlanDate,"Late",""))</f>
        <v/>
      </c>
    </row>
    <row r="451" customFormat="false" ht="15" hidden="false" customHeight="false" outlineLevel="0" collapsed="false">
      <c r="A451" s="11"/>
      <c r="B451" s="6"/>
      <c r="C451" s="11"/>
      <c r="D451" s="11"/>
      <c r="E451" s="8" t="str">
        <f aca="false">IF($A451="","",IF($B451&lt;PlanDate,"Late",""))</f>
        <v/>
      </c>
    </row>
    <row r="452" customFormat="false" ht="15" hidden="false" customHeight="false" outlineLevel="0" collapsed="false">
      <c r="A452" s="11"/>
      <c r="B452" s="6"/>
      <c r="C452" s="11"/>
      <c r="D452" s="11"/>
      <c r="E452" s="8" t="str">
        <f aca="false">IF($A452="","",IF($B452&lt;PlanDate,"Late",""))</f>
        <v/>
      </c>
    </row>
    <row r="453" customFormat="false" ht="15" hidden="false" customHeight="false" outlineLevel="0" collapsed="false">
      <c r="A453" s="11"/>
      <c r="B453" s="6"/>
      <c r="C453" s="11"/>
      <c r="D453" s="11"/>
      <c r="E453" s="8" t="str">
        <f aca="false">IF($A453="","",IF($B453&lt;PlanDate,"Late",""))</f>
        <v/>
      </c>
    </row>
    <row r="454" customFormat="false" ht="15" hidden="false" customHeight="false" outlineLevel="0" collapsed="false">
      <c r="A454" s="11"/>
      <c r="B454" s="6"/>
      <c r="C454" s="11"/>
      <c r="D454" s="11"/>
      <c r="E454" s="8" t="str">
        <f aca="false">IF($A454="","",IF($B454&lt;PlanDate,"Late",""))</f>
        <v/>
      </c>
    </row>
    <row r="455" customFormat="false" ht="15" hidden="false" customHeight="false" outlineLevel="0" collapsed="false">
      <c r="A455" s="11"/>
      <c r="B455" s="6"/>
      <c r="C455" s="11"/>
      <c r="D455" s="11"/>
      <c r="E455" s="8" t="str">
        <f aca="false">IF($A455="","",IF($B455&lt;PlanDate,"Late",""))</f>
        <v/>
      </c>
    </row>
    <row r="456" customFormat="false" ht="15" hidden="false" customHeight="false" outlineLevel="0" collapsed="false">
      <c r="A456" s="11"/>
      <c r="B456" s="6"/>
      <c r="C456" s="11"/>
      <c r="D456" s="11"/>
      <c r="E456" s="8" t="str">
        <f aca="false">IF($A456="","",IF($B456&lt;PlanDate,"Late",""))</f>
        <v/>
      </c>
    </row>
    <row r="457" customFormat="false" ht="15" hidden="false" customHeight="false" outlineLevel="0" collapsed="false">
      <c r="A457" s="11"/>
      <c r="B457" s="6"/>
      <c r="C457" s="11"/>
      <c r="D457" s="11"/>
      <c r="E457" s="8" t="str">
        <f aca="false">IF($A457="","",IF($B457&lt;PlanDate,"Late",""))</f>
        <v/>
      </c>
    </row>
    <row r="458" customFormat="false" ht="15" hidden="false" customHeight="false" outlineLevel="0" collapsed="false">
      <c r="A458" s="11"/>
      <c r="B458" s="6"/>
      <c r="C458" s="11"/>
      <c r="D458" s="11"/>
      <c r="E458" s="8" t="str">
        <f aca="false">IF($A458="","",IF($B458&lt;PlanDate,"Late",""))</f>
        <v/>
      </c>
    </row>
    <row r="459" customFormat="false" ht="15" hidden="false" customHeight="false" outlineLevel="0" collapsed="false">
      <c r="A459" s="11"/>
      <c r="B459" s="6"/>
      <c r="C459" s="11"/>
      <c r="D459" s="11"/>
      <c r="E459" s="8" t="str">
        <f aca="false">IF($A459="","",IF($B459&lt;PlanDate,"Late",""))</f>
        <v/>
      </c>
    </row>
    <row r="460" customFormat="false" ht="15" hidden="false" customHeight="false" outlineLevel="0" collapsed="false">
      <c r="A460" s="11"/>
      <c r="B460" s="6"/>
      <c r="C460" s="11"/>
      <c r="D460" s="11"/>
      <c r="E460" s="8" t="str">
        <f aca="false">IF($A460="","",IF($B460&lt;PlanDate,"Late",""))</f>
        <v/>
      </c>
    </row>
    <row r="461" customFormat="false" ht="15" hidden="false" customHeight="false" outlineLevel="0" collapsed="false">
      <c r="A461" s="11"/>
      <c r="B461" s="6"/>
      <c r="C461" s="11"/>
      <c r="D461" s="11"/>
      <c r="E461" s="8" t="str">
        <f aca="false">IF($A461="","",IF($B461&lt;PlanDate,"Late",""))</f>
        <v/>
      </c>
    </row>
    <row r="462" customFormat="false" ht="15" hidden="false" customHeight="false" outlineLevel="0" collapsed="false">
      <c r="A462" s="11"/>
      <c r="B462" s="6"/>
      <c r="C462" s="11"/>
      <c r="D462" s="11"/>
      <c r="E462" s="8" t="str">
        <f aca="false">IF($A462="","",IF($B462&lt;PlanDate,"Late",""))</f>
        <v/>
      </c>
    </row>
    <row r="463" customFormat="false" ht="15" hidden="false" customHeight="false" outlineLevel="0" collapsed="false">
      <c r="A463" s="11"/>
      <c r="B463" s="6"/>
      <c r="C463" s="11"/>
      <c r="D463" s="11"/>
      <c r="E463" s="8" t="str">
        <f aca="false">IF($A463="","",IF($B463&lt;PlanDate,"Late",""))</f>
        <v/>
      </c>
    </row>
    <row r="464" customFormat="false" ht="15" hidden="false" customHeight="false" outlineLevel="0" collapsed="false">
      <c r="A464" s="11"/>
      <c r="B464" s="6"/>
      <c r="C464" s="11"/>
      <c r="D464" s="11"/>
      <c r="E464" s="8" t="str">
        <f aca="false">IF($A464="","",IF($B464&lt;PlanDate,"Late",""))</f>
        <v/>
      </c>
    </row>
    <row r="465" customFormat="false" ht="15" hidden="false" customHeight="false" outlineLevel="0" collapsed="false">
      <c r="A465" s="11"/>
      <c r="B465" s="6"/>
      <c r="C465" s="11"/>
      <c r="D465" s="11"/>
      <c r="E465" s="8" t="str">
        <f aca="false">IF($A465="","",IF($B465&lt;PlanDate,"Late",""))</f>
        <v/>
      </c>
    </row>
    <row r="466" customFormat="false" ht="15" hidden="false" customHeight="false" outlineLevel="0" collapsed="false">
      <c r="A466" s="11"/>
      <c r="B466" s="6"/>
      <c r="C466" s="11"/>
      <c r="D466" s="11"/>
      <c r="E466" s="8" t="str">
        <f aca="false">IF($A466="","",IF($B466&lt;PlanDate,"Late",""))</f>
        <v/>
      </c>
    </row>
    <row r="467" customFormat="false" ht="15" hidden="false" customHeight="false" outlineLevel="0" collapsed="false">
      <c r="A467" s="11"/>
      <c r="B467" s="6"/>
      <c r="C467" s="11"/>
      <c r="D467" s="11"/>
      <c r="E467" s="8" t="str">
        <f aca="false">IF($A467="","",IF($B467&lt;PlanDate,"Late",""))</f>
        <v/>
      </c>
    </row>
    <row r="468" customFormat="false" ht="15" hidden="false" customHeight="false" outlineLevel="0" collapsed="false">
      <c r="A468" s="11"/>
      <c r="B468" s="6"/>
      <c r="C468" s="11"/>
      <c r="D468" s="11"/>
      <c r="E468" s="8" t="str">
        <f aca="false">IF($A468="","",IF($B468&lt;PlanDate,"Late",""))</f>
        <v/>
      </c>
    </row>
    <row r="469" customFormat="false" ht="15" hidden="false" customHeight="false" outlineLevel="0" collapsed="false">
      <c r="A469" s="11"/>
      <c r="B469" s="6"/>
      <c r="C469" s="11"/>
      <c r="D469" s="11"/>
      <c r="E469" s="8" t="str">
        <f aca="false">IF($A469="","",IF($B469&lt;PlanDate,"Late",""))</f>
        <v/>
      </c>
    </row>
    <row r="470" customFormat="false" ht="15" hidden="false" customHeight="false" outlineLevel="0" collapsed="false">
      <c r="A470" s="11"/>
      <c r="B470" s="6"/>
      <c r="C470" s="11"/>
      <c r="D470" s="11"/>
      <c r="E470" s="8" t="str">
        <f aca="false">IF($A470="","",IF($B470&lt;PlanDate,"Late",""))</f>
        <v/>
      </c>
    </row>
    <row r="471" customFormat="false" ht="15" hidden="false" customHeight="false" outlineLevel="0" collapsed="false">
      <c r="A471" s="11"/>
      <c r="B471" s="6"/>
      <c r="C471" s="11"/>
      <c r="D471" s="11"/>
      <c r="E471" s="8" t="str">
        <f aca="false">IF($A471="","",IF($B471&lt;PlanDate,"Late",""))</f>
        <v/>
      </c>
    </row>
    <row r="472" customFormat="false" ht="15" hidden="false" customHeight="false" outlineLevel="0" collapsed="false">
      <c r="A472" s="11"/>
      <c r="B472" s="6"/>
      <c r="C472" s="11"/>
      <c r="D472" s="11"/>
      <c r="E472" s="8" t="str">
        <f aca="false">IF($A472="","",IF($B472&lt;PlanDate,"Late",""))</f>
        <v/>
      </c>
    </row>
    <row r="473" customFormat="false" ht="15" hidden="false" customHeight="false" outlineLevel="0" collapsed="false">
      <c r="A473" s="11"/>
      <c r="B473" s="6"/>
      <c r="C473" s="11"/>
      <c r="D473" s="11"/>
      <c r="E473" s="8" t="str">
        <f aca="false">IF($A473="","",IF($B473&lt;PlanDate,"Late",""))</f>
        <v/>
      </c>
    </row>
    <row r="474" customFormat="false" ht="15" hidden="false" customHeight="false" outlineLevel="0" collapsed="false">
      <c r="A474" s="11"/>
      <c r="B474" s="6"/>
      <c r="C474" s="11"/>
      <c r="D474" s="11"/>
      <c r="E474" s="8" t="str">
        <f aca="false">IF($A474="","",IF($B474&lt;PlanDate,"Late",""))</f>
        <v/>
      </c>
    </row>
    <row r="475" customFormat="false" ht="15" hidden="false" customHeight="false" outlineLevel="0" collapsed="false">
      <c r="A475" s="11"/>
      <c r="B475" s="6"/>
      <c r="C475" s="11"/>
      <c r="D475" s="11"/>
      <c r="E475" s="8" t="str">
        <f aca="false">IF($A475="","",IF($B475&lt;PlanDate,"Late",""))</f>
        <v/>
      </c>
    </row>
    <row r="476" customFormat="false" ht="15" hidden="false" customHeight="false" outlineLevel="0" collapsed="false">
      <c r="A476" s="11"/>
      <c r="B476" s="6"/>
      <c r="C476" s="11"/>
      <c r="D476" s="11"/>
      <c r="E476" s="8" t="str">
        <f aca="false">IF($A476="","",IF($B476&lt;PlanDate,"Late",""))</f>
        <v/>
      </c>
    </row>
    <row r="477" customFormat="false" ht="15" hidden="false" customHeight="false" outlineLevel="0" collapsed="false">
      <c r="A477" s="11"/>
      <c r="B477" s="6"/>
      <c r="C477" s="11"/>
      <c r="D477" s="11"/>
      <c r="E477" s="8" t="str">
        <f aca="false">IF($A477="","",IF($B477&lt;PlanDate,"Late",""))</f>
        <v/>
      </c>
    </row>
    <row r="478" customFormat="false" ht="15" hidden="false" customHeight="false" outlineLevel="0" collapsed="false">
      <c r="A478" s="11"/>
      <c r="B478" s="6"/>
      <c r="C478" s="11"/>
      <c r="D478" s="11"/>
      <c r="E478" s="8" t="str">
        <f aca="false">IF($A478="","",IF($B478&lt;PlanDate,"Late",""))</f>
        <v/>
      </c>
    </row>
    <row r="479" customFormat="false" ht="15" hidden="false" customHeight="false" outlineLevel="0" collapsed="false">
      <c r="A479" s="11"/>
      <c r="B479" s="6"/>
      <c r="C479" s="11"/>
      <c r="D479" s="11"/>
      <c r="E479" s="8" t="str">
        <f aca="false">IF($A479="","",IF($B479&lt;PlanDate,"Late",""))</f>
        <v/>
      </c>
    </row>
    <row r="480" customFormat="false" ht="15" hidden="false" customHeight="false" outlineLevel="0" collapsed="false">
      <c r="A480" s="11"/>
      <c r="B480" s="6"/>
      <c r="C480" s="11"/>
      <c r="D480" s="11"/>
      <c r="E480" s="8" t="str">
        <f aca="false">IF($A480="","",IF($B480&lt;PlanDate,"Late",""))</f>
        <v/>
      </c>
    </row>
    <row r="481" customFormat="false" ht="15" hidden="false" customHeight="false" outlineLevel="0" collapsed="false">
      <c r="A481" s="11"/>
      <c r="B481" s="6"/>
      <c r="C481" s="11"/>
      <c r="D481" s="11"/>
      <c r="E481" s="8" t="str">
        <f aca="false">IF($A481="","",IF($B481&lt;PlanDate,"Late",""))</f>
        <v/>
      </c>
    </row>
    <row r="482" customFormat="false" ht="15" hidden="false" customHeight="false" outlineLevel="0" collapsed="false">
      <c r="A482" s="11"/>
      <c r="B482" s="6"/>
      <c r="C482" s="11"/>
      <c r="D482" s="11"/>
      <c r="E482" s="8" t="str">
        <f aca="false">IF($A482="","",IF($B482&lt;PlanDate,"Late",""))</f>
        <v/>
      </c>
    </row>
    <row r="483" customFormat="false" ht="15" hidden="false" customHeight="false" outlineLevel="0" collapsed="false">
      <c r="A483" s="11"/>
      <c r="B483" s="6"/>
      <c r="C483" s="11"/>
      <c r="D483" s="11"/>
      <c r="E483" s="8" t="str">
        <f aca="false">IF($A483="","",IF($B483&lt;PlanDate,"Late",""))</f>
        <v/>
      </c>
    </row>
    <row r="484" customFormat="false" ht="15" hidden="false" customHeight="false" outlineLevel="0" collapsed="false">
      <c r="A484" s="11"/>
      <c r="B484" s="6"/>
      <c r="C484" s="11"/>
      <c r="D484" s="11"/>
      <c r="E484" s="8" t="str">
        <f aca="false">IF($A484="","",IF($B484&lt;PlanDate,"Late",""))</f>
        <v/>
      </c>
    </row>
    <row r="485" customFormat="false" ht="15" hidden="false" customHeight="false" outlineLevel="0" collapsed="false">
      <c r="A485" s="11"/>
      <c r="B485" s="6"/>
      <c r="C485" s="11"/>
      <c r="D485" s="11"/>
      <c r="E485" s="8" t="str">
        <f aca="false">IF($A485="","",IF($B485&lt;PlanDate,"Late",""))</f>
        <v/>
      </c>
    </row>
    <row r="486" customFormat="false" ht="15" hidden="false" customHeight="false" outlineLevel="0" collapsed="false">
      <c r="A486" s="11"/>
      <c r="B486" s="6"/>
      <c r="C486" s="11"/>
      <c r="D486" s="11"/>
      <c r="E486" s="8" t="str">
        <f aca="false">IF($A486="","",IF($B486&lt;PlanDate,"Late",""))</f>
        <v/>
      </c>
    </row>
    <row r="487" customFormat="false" ht="15" hidden="false" customHeight="false" outlineLevel="0" collapsed="false">
      <c r="A487" s="11"/>
      <c r="B487" s="6"/>
      <c r="C487" s="11"/>
      <c r="D487" s="11"/>
      <c r="E487" s="8" t="str">
        <f aca="false">IF($A487="","",IF($B487&lt;PlanDate,"Late",""))</f>
        <v/>
      </c>
    </row>
    <row r="488" customFormat="false" ht="15" hidden="false" customHeight="false" outlineLevel="0" collapsed="false">
      <c r="A488" s="11"/>
      <c r="B488" s="6"/>
      <c r="C488" s="11"/>
      <c r="D488" s="11"/>
      <c r="E488" s="8" t="str">
        <f aca="false">IF($A488="","",IF($B488&lt;PlanDate,"Late",""))</f>
        <v/>
      </c>
    </row>
    <row r="489" customFormat="false" ht="15" hidden="false" customHeight="false" outlineLevel="0" collapsed="false">
      <c r="A489" s="11"/>
      <c r="B489" s="6"/>
      <c r="C489" s="11"/>
      <c r="D489" s="11"/>
      <c r="E489" s="8" t="str">
        <f aca="false">IF($A489="","",IF($B489&lt;PlanDate,"Late",""))</f>
        <v/>
      </c>
    </row>
    <row r="490" customFormat="false" ht="15" hidden="false" customHeight="false" outlineLevel="0" collapsed="false">
      <c r="A490" s="11"/>
      <c r="B490" s="6"/>
      <c r="C490" s="11"/>
      <c r="D490" s="11"/>
      <c r="E490" s="8" t="str">
        <f aca="false">IF($A490="","",IF($B490&lt;PlanDate,"Late",""))</f>
        <v/>
      </c>
    </row>
    <row r="491" customFormat="false" ht="15" hidden="false" customHeight="false" outlineLevel="0" collapsed="false">
      <c r="A491" s="11"/>
      <c r="B491" s="6"/>
      <c r="C491" s="11"/>
      <c r="D491" s="11"/>
      <c r="E491" s="8" t="str">
        <f aca="false">IF($A491="","",IF($B491&lt;PlanDate,"Late",""))</f>
        <v/>
      </c>
    </row>
    <row r="492" customFormat="false" ht="15" hidden="false" customHeight="false" outlineLevel="0" collapsed="false">
      <c r="A492" s="11"/>
      <c r="B492" s="6"/>
      <c r="C492" s="11"/>
      <c r="D492" s="11"/>
      <c r="E492" s="8" t="str">
        <f aca="false">IF($A492="","",IF($B492&lt;PlanDate,"Late",""))</f>
        <v/>
      </c>
    </row>
    <row r="493" customFormat="false" ht="15" hidden="false" customHeight="false" outlineLevel="0" collapsed="false">
      <c r="A493" s="11"/>
      <c r="B493" s="6"/>
      <c r="C493" s="11"/>
      <c r="D493" s="11"/>
      <c r="E493" s="8" t="str">
        <f aca="false">IF($A493="","",IF($B493&lt;PlanDate,"Late",""))</f>
        <v/>
      </c>
    </row>
    <row r="494" customFormat="false" ht="15" hidden="false" customHeight="false" outlineLevel="0" collapsed="false">
      <c r="A494" s="11"/>
      <c r="B494" s="6"/>
      <c r="C494" s="11"/>
      <c r="D494" s="11"/>
      <c r="E494" s="8" t="str">
        <f aca="false">IF($A494="","",IF($B494&lt;PlanDate,"Late",""))</f>
        <v/>
      </c>
    </row>
    <row r="495" customFormat="false" ht="15" hidden="false" customHeight="false" outlineLevel="0" collapsed="false">
      <c r="A495" s="11"/>
      <c r="B495" s="6"/>
      <c r="C495" s="11"/>
      <c r="D495" s="11"/>
      <c r="E495" s="8" t="str">
        <f aca="false">IF($A495="","",IF($B495&lt;PlanDate,"Late",""))</f>
        <v/>
      </c>
    </row>
    <row r="496" customFormat="false" ht="15" hidden="false" customHeight="false" outlineLevel="0" collapsed="false">
      <c r="A496" s="11"/>
      <c r="B496" s="6"/>
      <c r="C496" s="11"/>
      <c r="D496" s="11"/>
      <c r="E496" s="8" t="str">
        <f aca="false">IF($A496="","",IF($B496&lt;PlanDate,"Late",""))</f>
        <v/>
      </c>
    </row>
    <row r="497" customFormat="false" ht="15" hidden="false" customHeight="false" outlineLevel="0" collapsed="false">
      <c r="A497" s="11"/>
      <c r="B497" s="6"/>
      <c r="C497" s="11"/>
      <c r="D497" s="11"/>
      <c r="E497" s="8" t="str">
        <f aca="false">IF($A497="","",IF($B497&lt;PlanDate,"Late",""))</f>
        <v/>
      </c>
    </row>
    <row r="498" customFormat="false" ht="15" hidden="false" customHeight="false" outlineLevel="0" collapsed="false">
      <c r="A498" s="11"/>
      <c r="B498" s="6"/>
      <c r="C498" s="11"/>
      <c r="D498" s="11"/>
      <c r="E498" s="8" t="str">
        <f aca="false">IF($A498="","",IF($B498&lt;PlanDate,"Late",""))</f>
        <v/>
      </c>
    </row>
    <row r="499" customFormat="false" ht="15" hidden="false" customHeight="false" outlineLevel="0" collapsed="false">
      <c r="A499" s="11"/>
      <c r="B499" s="6"/>
      <c r="C499" s="11"/>
      <c r="D499" s="11"/>
      <c r="E499" s="8" t="str">
        <f aca="false">IF($A499="","",IF($B499&lt;PlanDate,"Late",""))</f>
        <v/>
      </c>
    </row>
    <row r="500" customFormat="false" ht="15" hidden="false" customHeight="false" outlineLevel="0" collapsed="false">
      <c r="A500" s="11"/>
      <c r="B500" s="6"/>
      <c r="C500" s="11"/>
      <c r="D500" s="11"/>
      <c r="E500" s="8" t="str">
        <f aca="false">IF($A500="","",IF($B500&lt;PlanDate,"Late",""))</f>
        <v/>
      </c>
    </row>
    <row r="501" customFormat="false" ht="15" hidden="false" customHeight="false" outlineLevel="0" collapsed="false">
      <c r="A501" s="11"/>
      <c r="B501" s="6"/>
      <c r="C501" s="11"/>
      <c r="D501" s="11"/>
      <c r="E501" s="8" t="str">
        <f aca="false">IF($A501="","",IF($B501&lt;PlanDate,"Late",""))</f>
        <v/>
      </c>
    </row>
    <row r="502" customFormat="false" ht="15" hidden="false" customHeight="false" outlineLevel="0" collapsed="false">
      <c r="A502" s="11"/>
      <c r="B502" s="6"/>
      <c r="C502" s="11"/>
      <c r="D502" s="11"/>
      <c r="E502" s="8" t="str">
        <f aca="false">IF($A502="","",IF($B502&lt;PlanDate,"Late",""))</f>
        <v/>
      </c>
    </row>
    <row r="503" customFormat="false" ht="15" hidden="false" customHeight="false" outlineLevel="0" collapsed="false">
      <c r="A503" s="11"/>
      <c r="B503" s="6"/>
      <c r="C503" s="11"/>
      <c r="D503" s="11"/>
      <c r="E503" s="8" t="str">
        <f aca="false">IF($A503="","",IF($B503&lt;PlanDate,"Late",""))</f>
        <v/>
      </c>
    </row>
    <row r="504" customFormat="false" ht="15" hidden="false" customHeight="false" outlineLevel="0" collapsed="false">
      <c r="A504" s="11"/>
      <c r="B504" s="6"/>
      <c r="C504" s="11"/>
      <c r="D504" s="11"/>
      <c r="E504" s="8" t="str">
        <f aca="false">IF($A504="","",IF($B504&lt;PlanDate,"Late",""))</f>
        <v/>
      </c>
    </row>
    <row r="505" customFormat="false" ht="15" hidden="false" customHeight="false" outlineLevel="0" collapsed="false">
      <c r="A505" s="11"/>
      <c r="B505" s="6"/>
      <c r="C505" s="11"/>
      <c r="D505" s="11"/>
      <c r="E505" s="8" t="str">
        <f aca="false">IF($A505="","",IF($B505&lt;PlanDate,"Late",""))</f>
        <v/>
      </c>
    </row>
    <row r="506" customFormat="false" ht="15" hidden="false" customHeight="false" outlineLevel="0" collapsed="false">
      <c r="A506" s="11"/>
      <c r="B506" s="6"/>
      <c r="C506" s="11"/>
      <c r="D506" s="11"/>
      <c r="E506" s="8" t="str">
        <f aca="false">IF($A506="","",IF($B506&lt;PlanDate,"Late",""))</f>
        <v/>
      </c>
    </row>
    <row r="507" customFormat="false" ht="15" hidden="false" customHeight="false" outlineLevel="0" collapsed="false">
      <c r="A507" s="11"/>
      <c r="B507" s="6"/>
      <c r="C507" s="11"/>
      <c r="D507" s="11"/>
      <c r="E507" s="8" t="str">
        <f aca="false">IF($A507="","",IF($B507&lt;PlanDate,"Late",""))</f>
        <v/>
      </c>
    </row>
    <row r="508" customFormat="false" ht="15" hidden="false" customHeight="false" outlineLevel="0" collapsed="false">
      <c r="A508" s="11"/>
      <c r="B508" s="6"/>
      <c r="C508" s="11"/>
      <c r="D508" s="11"/>
      <c r="E508" s="8" t="str">
        <f aca="false">IF($A508="","",IF($B508&lt;PlanDate,"Late",""))</f>
        <v/>
      </c>
    </row>
    <row r="509" customFormat="false" ht="15" hidden="false" customHeight="false" outlineLevel="0" collapsed="false">
      <c r="A509" s="11"/>
      <c r="B509" s="6"/>
      <c r="C509" s="11"/>
      <c r="D509" s="11"/>
      <c r="E509" s="8" t="str">
        <f aca="false">IF($A509="","",IF($B509&lt;PlanDate,"Late",""))</f>
        <v/>
      </c>
    </row>
    <row r="510" customFormat="false" ht="15" hidden="false" customHeight="false" outlineLevel="0" collapsed="false">
      <c r="A510" s="11"/>
      <c r="B510" s="6"/>
      <c r="C510" s="11"/>
      <c r="D510" s="11"/>
      <c r="E510" s="8" t="str">
        <f aca="false">IF($A510="","",IF($B510&lt;PlanDate,"Late",""))</f>
        <v/>
      </c>
    </row>
    <row r="511" customFormat="false" ht="15" hidden="false" customHeight="false" outlineLevel="0" collapsed="false">
      <c r="A511" s="11"/>
      <c r="B511" s="6"/>
      <c r="C511" s="11"/>
      <c r="D511" s="11"/>
      <c r="E511" s="8" t="str">
        <f aca="false">IF($A511="","",IF($B511&lt;PlanDate,"Late",""))</f>
        <v/>
      </c>
    </row>
    <row r="512" customFormat="false" ht="15" hidden="false" customHeight="false" outlineLevel="0" collapsed="false">
      <c r="A512" s="11"/>
      <c r="B512" s="6"/>
      <c r="C512" s="11"/>
      <c r="D512" s="11"/>
      <c r="E512" s="8" t="str">
        <f aca="false">IF($A512="","",IF($B512&lt;PlanDate,"Late",""))</f>
        <v/>
      </c>
    </row>
    <row r="513" customFormat="false" ht="15" hidden="false" customHeight="false" outlineLevel="0" collapsed="false">
      <c r="A513" s="11"/>
      <c r="B513" s="6"/>
      <c r="C513" s="11"/>
      <c r="D513" s="11"/>
      <c r="E513" s="8" t="str">
        <f aca="false">IF($A513="","",IF($B513&lt;PlanDate,"Late",""))</f>
        <v/>
      </c>
    </row>
    <row r="514" customFormat="false" ht="15" hidden="false" customHeight="false" outlineLevel="0" collapsed="false">
      <c r="A514" s="11"/>
      <c r="B514" s="6"/>
      <c r="C514" s="11"/>
      <c r="D514" s="11"/>
      <c r="E514" s="8" t="str">
        <f aca="false">IF($A514="","",IF($B514&lt;PlanDate,"Late",""))</f>
        <v/>
      </c>
    </row>
    <row r="515" customFormat="false" ht="15" hidden="false" customHeight="false" outlineLevel="0" collapsed="false">
      <c r="A515" s="11"/>
      <c r="B515" s="6"/>
      <c r="C515" s="11"/>
      <c r="D515" s="11"/>
      <c r="E515" s="8" t="str">
        <f aca="false">IF($A515="","",IF($B515&lt;PlanDate,"Late",""))</f>
        <v/>
      </c>
    </row>
    <row r="516" customFormat="false" ht="15" hidden="false" customHeight="false" outlineLevel="0" collapsed="false">
      <c r="A516" s="11"/>
      <c r="B516" s="6"/>
      <c r="C516" s="11"/>
      <c r="D516" s="11"/>
      <c r="E516" s="8" t="str">
        <f aca="false">IF($A516="","",IF($B516&lt;PlanDate,"Late",""))</f>
        <v/>
      </c>
    </row>
    <row r="517" customFormat="false" ht="15" hidden="false" customHeight="false" outlineLevel="0" collapsed="false">
      <c r="A517" s="11"/>
      <c r="B517" s="6"/>
      <c r="C517" s="11"/>
      <c r="D517" s="11"/>
      <c r="E517" s="8" t="str">
        <f aca="false">IF($A517="","",IF($B517&lt;PlanDate,"Late",""))</f>
        <v/>
      </c>
    </row>
    <row r="518" customFormat="false" ht="15" hidden="false" customHeight="false" outlineLevel="0" collapsed="false">
      <c r="A518" s="11"/>
      <c r="B518" s="6"/>
      <c r="C518" s="11"/>
      <c r="D518" s="11"/>
      <c r="E518" s="8" t="str">
        <f aca="false">IF($A518="","",IF($B518&lt;PlanDate,"Late",""))</f>
        <v/>
      </c>
    </row>
    <row r="519" customFormat="false" ht="15" hidden="false" customHeight="false" outlineLevel="0" collapsed="false">
      <c r="A519" s="11"/>
      <c r="B519" s="6"/>
      <c r="C519" s="11"/>
      <c r="D519" s="11"/>
      <c r="E519" s="8" t="str">
        <f aca="false">IF($A519="","",IF($B519&lt;PlanDate,"Late",""))</f>
        <v/>
      </c>
    </row>
    <row r="520" customFormat="false" ht="15" hidden="false" customHeight="false" outlineLevel="0" collapsed="false">
      <c r="A520" s="11"/>
      <c r="B520" s="6"/>
      <c r="C520" s="11"/>
      <c r="D520" s="11"/>
      <c r="E520" s="8" t="str">
        <f aca="false">IF($A520="","",IF($B520&lt;PlanDate,"Late",""))</f>
        <v/>
      </c>
    </row>
    <row r="521" customFormat="false" ht="15" hidden="false" customHeight="false" outlineLevel="0" collapsed="false">
      <c r="A521" s="11"/>
      <c r="B521" s="6"/>
      <c r="C521" s="11"/>
      <c r="D521" s="11"/>
      <c r="E521" s="8" t="str">
        <f aca="false">IF($A521="","",IF($B521&lt;PlanDate,"Late",""))</f>
        <v/>
      </c>
    </row>
    <row r="522" customFormat="false" ht="15" hidden="false" customHeight="false" outlineLevel="0" collapsed="false">
      <c r="A522" s="11"/>
      <c r="B522" s="6"/>
      <c r="C522" s="11"/>
      <c r="D522" s="11"/>
      <c r="E522" s="8" t="str">
        <f aca="false">IF($A522="","",IF($B522&lt;PlanDate,"Late",""))</f>
        <v/>
      </c>
    </row>
    <row r="523" customFormat="false" ht="15" hidden="false" customHeight="false" outlineLevel="0" collapsed="false">
      <c r="A523" s="11"/>
      <c r="B523" s="6"/>
      <c r="C523" s="11"/>
      <c r="D523" s="11"/>
      <c r="E523" s="8" t="str">
        <f aca="false">IF($A523="","",IF($B523&lt;PlanDate,"Late",""))</f>
        <v/>
      </c>
    </row>
    <row r="524" customFormat="false" ht="15" hidden="false" customHeight="false" outlineLevel="0" collapsed="false">
      <c r="A524" s="11"/>
      <c r="B524" s="6"/>
      <c r="C524" s="11"/>
      <c r="D524" s="11"/>
      <c r="E524" s="8" t="str">
        <f aca="false">IF($A524="","",IF($B524&lt;PlanDate,"Late",""))</f>
        <v/>
      </c>
    </row>
    <row r="525" customFormat="false" ht="15" hidden="false" customHeight="false" outlineLevel="0" collapsed="false">
      <c r="A525" s="11"/>
      <c r="B525" s="6"/>
      <c r="C525" s="11"/>
      <c r="D525" s="11"/>
      <c r="E525" s="8" t="str">
        <f aca="false">IF($A525="","",IF($B525&lt;PlanDate,"Late",""))</f>
        <v/>
      </c>
    </row>
    <row r="526" customFormat="false" ht="15" hidden="false" customHeight="false" outlineLevel="0" collapsed="false">
      <c r="A526" s="11"/>
      <c r="B526" s="6"/>
      <c r="C526" s="11"/>
      <c r="D526" s="11"/>
      <c r="E526" s="8" t="str">
        <f aca="false">IF($A526="","",IF($B526&lt;PlanDate,"Late",""))</f>
        <v/>
      </c>
    </row>
    <row r="527" customFormat="false" ht="15" hidden="false" customHeight="false" outlineLevel="0" collapsed="false">
      <c r="A527" s="11"/>
      <c r="B527" s="6"/>
      <c r="C527" s="11"/>
      <c r="D527" s="11"/>
      <c r="E527" s="8" t="str">
        <f aca="false">IF($A527="","",IF($B527&lt;PlanDate,"Late",""))</f>
        <v/>
      </c>
    </row>
    <row r="528" customFormat="false" ht="15" hidden="false" customHeight="false" outlineLevel="0" collapsed="false">
      <c r="A528" s="11"/>
      <c r="B528" s="6"/>
      <c r="C528" s="11"/>
      <c r="D528" s="11"/>
      <c r="E528" s="8" t="str">
        <f aca="false">IF($A528="","",IF($B528&lt;PlanDate,"Late",""))</f>
        <v/>
      </c>
    </row>
    <row r="529" customFormat="false" ht="15" hidden="false" customHeight="false" outlineLevel="0" collapsed="false">
      <c r="A529" s="11"/>
      <c r="B529" s="6"/>
      <c r="C529" s="11"/>
      <c r="D529" s="11"/>
      <c r="E529" s="8" t="str">
        <f aca="false">IF($A529="","",IF($B529&lt;PlanDate,"Late",""))</f>
        <v/>
      </c>
    </row>
    <row r="530" customFormat="false" ht="15" hidden="false" customHeight="false" outlineLevel="0" collapsed="false">
      <c r="A530" s="11"/>
      <c r="B530" s="6"/>
      <c r="C530" s="11"/>
      <c r="D530" s="11"/>
      <c r="E530" s="8" t="str">
        <f aca="false">IF($A530="","",IF($B530&lt;PlanDate,"Late",""))</f>
        <v/>
      </c>
    </row>
    <row r="531" customFormat="false" ht="15" hidden="false" customHeight="false" outlineLevel="0" collapsed="false">
      <c r="A531" s="11"/>
      <c r="B531" s="6"/>
      <c r="C531" s="11"/>
      <c r="D531" s="11"/>
      <c r="E531" s="8" t="str">
        <f aca="false">IF($A531="","",IF($B531&lt;PlanDate,"Late",""))</f>
        <v/>
      </c>
    </row>
    <row r="532" customFormat="false" ht="15" hidden="false" customHeight="false" outlineLevel="0" collapsed="false">
      <c r="A532" s="11"/>
      <c r="B532" s="6"/>
      <c r="C532" s="11"/>
      <c r="D532" s="11"/>
      <c r="E532" s="8" t="str">
        <f aca="false">IF($A532="","",IF($B532&lt;PlanDate,"Late",""))</f>
        <v/>
      </c>
    </row>
    <row r="533" customFormat="false" ht="15" hidden="false" customHeight="false" outlineLevel="0" collapsed="false">
      <c r="A533" s="11"/>
      <c r="B533" s="6"/>
      <c r="C533" s="11"/>
      <c r="D533" s="11"/>
      <c r="E533" s="8" t="str">
        <f aca="false">IF($A533="","",IF($B533&lt;PlanDate,"Late",""))</f>
        <v/>
      </c>
    </row>
    <row r="534" customFormat="false" ht="15" hidden="false" customHeight="false" outlineLevel="0" collapsed="false">
      <c r="A534" s="11"/>
      <c r="B534" s="6"/>
      <c r="C534" s="11"/>
      <c r="D534" s="11"/>
      <c r="E534" s="8" t="str">
        <f aca="false">IF($A534="","",IF($B534&lt;PlanDate,"Late",""))</f>
        <v/>
      </c>
    </row>
    <row r="535" customFormat="false" ht="15" hidden="false" customHeight="false" outlineLevel="0" collapsed="false">
      <c r="A535" s="11"/>
      <c r="B535" s="6"/>
      <c r="C535" s="11"/>
      <c r="D535" s="11"/>
      <c r="E535" s="8" t="str">
        <f aca="false">IF($A535="","",IF($B535&lt;PlanDate,"Late",""))</f>
        <v/>
      </c>
    </row>
    <row r="536" customFormat="false" ht="15" hidden="false" customHeight="false" outlineLevel="0" collapsed="false">
      <c r="A536" s="11"/>
      <c r="B536" s="6"/>
      <c r="C536" s="11"/>
      <c r="D536" s="11"/>
      <c r="E536" s="8" t="str">
        <f aca="false">IF($A536="","",IF($B536&lt;PlanDate,"Late",""))</f>
        <v/>
      </c>
    </row>
    <row r="537" customFormat="false" ht="15" hidden="false" customHeight="false" outlineLevel="0" collapsed="false">
      <c r="A537" s="11"/>
      <c r="B537" s="6"/>
      <c r="C537" s="11"/>
      <c r="D537" s="11"/>
      <c r="E537" s="8" t="str">
        <f aca="false">IF($A537="","",IF($B537&lt;PlanDate,"Late",""))</f>
        <v/>
      </c>
    </row>
    <row r="538" customFormat="false" ht="15" hidden="false" customHeight="false" outlineLevel="0" collapsed="false">
      <c r="A538" s="11"/>
      <c r="B538" s="6"/>
      <c r="C538" s="11"/>
      <c r="D538" s="11"/>
      <c r="E538" s="8" t="str">
        <f aca="false">IF($A538="","",IF($B538&lt;PlanDate,"Late",""))</f>
        <v/>
      </c>
    </row>
    <row r="539" customFormat="false" ht="15" hidden="false" customHeight="false" outlineLevel="0" collapsed="false">
      <c r="A539" s="11"/>
      <c r="B539" s="6"/>
      <c r="C539" s="11"/>
      <c r="D539" s="11"/>
      <c r="E539" s="8" t="str">
        <f aca="false">IF($A539="","",IF($B539&lt;PlanDate,"Late",""))</f>
        <v/>
      </c>
    </row>
    <row r="540" customFormat="false" ht="15" hidden="false" customHeight="false" outlineLevel="0" collapsed="false">
      <c r="A540" s="11"/>
      <c r="B540" s="6"/>
      <c r="C540" s="11"/>
      <c r="D540" s="11"/>
      <c r="E540" s="8" t="str">
        <f aca="false">IF($A540="","",IF($B540&lt;PlanDate,"Late",""))</f>
        <v/>
      </c>
    </row>
    <row r="541" customFormat="false" ht="15" hidden="false" customHeight="false" outlineLevel="0" collapsed="false">
      <c r="A541" s="11"/>
      <c r="B541" s="6"/>
      <c r="C541" s="11"/>
      <c r="D541" s="11"/>
      <c r="E541" s="8" t="str">
        <f aca="false">IF($A541="","",IF($B541&lt;PlanDate,"Late",""))</f>
        <v/>
      </c>
    </row>
    <row r="542" customFormat="false" ht="15" hidden="false" customHeight="false" outlineLevel="0" collapsed="false">
      <c r="A542" s="11"/>
      <c r="B542" s="6"/>
      <c r="C542" s="11"/>
      <c r="D542" s="11"/>
      <c r="E542" s="8" t="str">
        <f aca="false">IF($A542="","",IF($B542&lt;PlanDate,"Late",""))</f>
        <v/>
      </c>
    </row>
    <row r="543" customFormat="false" ht="15" hidden="false" customHeight="false" outlineLevel="0" collapsed="false">
      <c r="A543" s="11"/>
      <c r="B543" s="6"/>
      <c r="C543" s="11"/>
      <c r="D543" s="11"/>
      <c r="E543" s="8" t="str">
        <f aca="false">IF($A543="","",IF($B543&lt;PlanDate,"Late",""))</f>
        <v/>
      </c>
    </row>
    <row r="544" customFormat="false" ht="15" hidden="false" customHeight="false" outlineLevel="0" collapsed="false">
      <c r="A544" s="11"/>
      <c r="B544" s="6"/>
      <c r="C544" s="11"/>
      <c r="D544" s="11"/>
      <c r="E544" s="8" t="str">
        <f aca="false">IF($A544="","",IF($B544&lt;PlanDate,"Late",""))</f>
        <v/>
      </c>
    </row>
    <row r="545" customFormat="false" ht="15" hidden="false" customHeight="false" outlineLevel="0" collapsed="false">
      <c r="A545" s="11"/>
      <c r="B545" s="6"/>
      <c r="C545" s="11"/>
      <c r="D545" s="11"/>
      <c r="E545" s="8" t="str">
        <f aca="false">IF($A545="","",IF($B545&lt;PlanDate,"Late",""))</f>
        <v/>
      </c>
    </row>
    <row r="546" customFormat="false" ht="15" hidden="false" customHeight="false" outlineLevel="0" collapsed="false">
      <c r="A546" s="11"/>
      <c r="B546" s="6"/>
      <c r="C546" s="11"/>
      <c r="D546" s="11"/>
      <c r="E546" s="8" t="str">
        <f aca="false">IF($A546="","",IF($B546&lt;PlanDate,"Late",""))</f>
        <v/>
      </c>
    </row>
    <row r="547" customFormat="false" ht="15" hidden="false" customHeight="false" outlineLevel="0" collapsed="false">
      <c r="A547" s="11"/>
      <c r="B547" s="6"/>
      <c r="C547" s="11"/>
      <c r="D547" s="11"/>
      <c r="E547" s="8" t="str">
        <f aca="false">IF($A547="","",IF($B547&lt;PlanDate,"Late",""))</f>
        <v/>
      </c>
    </row>
    <row r="548" customFormat="false" ht="15" hidden="false" customHeight="false" outlineLevel="0" collapsed="false">
      <c r="A548" s="11"/>
      <c r="B548" s="6"/>
      <c r="C548" s="11"/>
      <c r="D548" s="11"/>
      <c r="E548" s="8" t="str">
        <f aca="false">IF($A548="","",IF($B548&lt;PlanDate,"Late",""))</f>
        <v/>
      </c>
    </row>
    <row r="549" customFormat="false" ht="15" hidden="false" customHeight="false" outlineLevel="0" collapsed="false">
      <c r="A549" s="11"/>
      <c r="B549" s="6"/>
      <c r="C549" s="11"/>
      <c r="D549" s="11"/>
      <c r="E549" s="8" t="str">
        <f aca="false">IF($A549="","",IF($B549&lt;PlanDate,"Late",""))</f>
        <v/>
      </c>
    </row>
    <row r="550" customFormat="false" ht="15" hidden="false" customHeight="false" outlineLevel="0" collapsed="false">
      <c r="A550" s="11"/>
      <c r="B550" s="6"/>
      <c r="C550" s="11"/>
      <c r="D550" s="11"/>
      <c r="E550" s="8" t="str">
        <f aca="false">IF($A550="","",IF($B550&lt;PlanDate,"Late",""))</f>
        <v/>
      </c>
    </row>
    <row r="551" customFormat="false" ht="15" hidden="false" customHeight="false" outlineLevel="0" collapsed="false">
      <c r="A551" s="11"/>
      <c r="B551" s="6"/>
      <c r="C551" s="11"/>
      <c r="D551" s="11"/>
      <c r="E551" s="8" t="str">
        <f aca="false">IF($A551="","",IF($B551&lt;PlanDate,"Late",""))</f>
        <v/>
      </c>
    </row>
    <row r="552" customFormat="false" ht="15" hidden="false" customHeight="false" outlineLevel="0" collapsed="false">
      <c r="A552" s="11"/>
      <c r="B552" s="6"/>
      <c r="C552" s="11"/>
      <c r="D552" s="11"/>
      <c r="E552" s="8" t="str">
        <f aca="false">IF($A552="","",IF($B552&lt;PlanDate,"Late",""))</f>
        <v/>
      </c>
    </row>
    <row r="553" customFormat="false" ht="15" hidden="false" customHeight="false" outlineLevel="0" collapsed="false">
      <c r="A553" s="11"/>
      <c r="B553" s="6"/>
      <c r="C553" s="11"/>
      <c r="D553" s="11"/>
      <c r="E553" s="8" t="str">
        <f aca="false">IF($A553="","",IF($B553&lt;PlanDate,"Late",""))</f>
        <v/>
      </c>
    </row>
    <row r="554" customFormat="false" ht="15" hidden="false" customHeight="false" outlineLevel="0" collapsed="false">
      <c r="A554" s="11"/>
      <c r="B554" s="6"/>
      <c r="C554" s="11"/>
      <c r="D554" s="11"/>
      <c r="E554" s="8" t="str">
        <f aca="false">IF($A554="","",IF($B554&lt;PlanDate,"Late",""))</f>
        <v/>
      </c>
    </row>
    <row r="555" customFormat="false" ht="15" hidden="false" customHeight="false" outlineLevel="0" collapsed="false">
      <c r="A555" s="11"/>
      <c r="B555" s="6"/>
      <c r="C555" s="11"/>
      <c r="D555" s="11"/>
      <c r="E555" s="8" t="str">
        <f aca="false">IF($A555="","",IF($B555&lt;PlanDate,"Late",""))</f>
        <v/>
      </c>
    </row>
    <row r="556" customFormat="false" ht="15" hidden="false" customHeight="false" outlineLevel="0" collapsed="false">
      <c r="A556" s="11"/>
      <c r="B556" s="6"/>
      <c r="C556" s="11"/>
      <c r="D556" s="11"/>
      <c r="E556" s="8" t="str">
        <f aca="false">IF($A556="","",IF($B556&lt;PlanDate,"Late",""))</f>
        <v/>
      </c>
    </row>
    <row r="557" customFormat="false" ht="15" hidden="false" customHeight="false" outlineLevel="0" collapsed="false">
      <c r="A557" s="11"/>
      <c r="B557" s="6"/>
      <c r="C557" s="11"/>
      <c r="D557" s="11"/>
      <c r="E557" s="8" t="str">
        <f aca="false">IF($A557="","",IF($B557&lt;PlanDate,"Late",""))</f>
        <v/>
      </c>
    </row>
    <row r="558" customFormat="false" ht="15" hidden="false" customHeight="false" outlineLevel="0" collapsed="false">
      <c r="A558" s="11"/>
      <c r="B558" s="6"/>
      <c r="C558" s="11"/>
      <c r="D558" s="11"/>
      <c r="E558" s="8" t="str">
        <f aca="false">IF($A558="","",IF($B558&lt;PlanDate,"Late",""))</f>
        <v/>
      </c>
    </row>
    <row r="559" customFormat="false" ht="15" hidden="false" customHeight="false" outlineLevel="0" collapsed="false">
      <c r="A559" s="11"/>
      <c r="B559" s="6"/>
      <c r="C559" s="11"/>
      <c r="D559" s="11"/>
      <c r="E559" s="8" t="str">
        <f aca="false">IF($A559="","",IF($B559&lt;PlanDate,"Late",""))</f>
        <v/>
      </c>
    </row>
    <row r="560" customFormat="false" ht="15" hidden="false" customHeight="false" outlineLevel="0" collapsed="false">
      <c r="A560" s="11"/>
      <c r="B560" s="6"/>
      <c r="C560" s="11"/>
      <c r="D560" s="11"/>
      <c r="E560" s="8" t="str">
        <f aca="false">IF($A560="","",IF($B560&lt;PlanDate,"Late",""))</f>
        <v/>
      </c>
    </row>
    <row r="561" customFormat="false" ht="15" hidden="false" customHeight="false" outlineLevel="0" collapsed="false">
      <c r="A561" s="11"/>
      <c r="B561" s="6"/>
      <c r="C561" s="11"/>
      <c r="D561" s="11"/>
      <c r="E561" s="8" t="str">
        <f aca="false">IF($A561="","",IF($B561&lt;PlanDate,"Late",""))</f>
        <v/>
      </c>
    </row>
    <row r="562" customFormat="false" ht="15" hidden="false" customHeight="false" outlineLevel="0" collapsed="false">
      <c r="A562" s="11"/>
      <c r="B562" s="6"/>
      <c r="C562" s="11"/>
      <c r="D562" s="11"/>
      <c r="E562" s="8" t="str">
        <f aca="false">IF($A562="","",IF($B562&lt;PlanDate,"Late",""))</f>
        <v/>
      </c>
    </row>
    <row r="563" customFormat="false" ht="15" hidden="false" customHeight="false" outlineLevel="0" collapsed="false">
      <c r="A563" s="11"/>
      <c r="B563" s="6"/>
      <c r="C563" s="11"/>
      <c r="D563" s="11"/>
      <c r="E563" s="8" t="str">
        <f aca="false">IF($A563="","",IF($B563&lt;PlanDate,"Late",""))</f>
        <v/>
      </c>
    </row>
    <row r="564" customFormat="false" ht="15" hidden="false" customHeight="false" outlineLevel="0" collapsed="false">
      <c r="A564" s="11"/>
      <c r="B564" s="6"/>
      <c r="C564" s="11"/>
      <c r="D564" s="11"/>
      <c r="E564" s="8" t="str">
        <f aca="false">IF($A564="","",IF($B564&lt;PlanDate,"Late",""))</f>
        <v/>
      </c>
    </row>
    <row r="565" customFormat="false" ht="15" hidden="false" customHeight="false" outlineLevel="0" collapsed="false">
      <c r="A565" s="11"/>
      <c r="B565" s="6"/>
      <c r="C565" s="11"/>
      <c r="D565" s="11"/>
      <c r="E565" s="8" t="str">
        <f aca="false">IF($A565="","",IF($B565&lt;PlanDate,"Late",""))</f>
        <v/>
      </c>
    </row>
    <row r="566" customFormat="false" ht="15" hidden="false" customHeight="false" outlineLevel="0" collapsed="false">
      <c r="A566" s="11"/>
      <c r="B566" s="6"/>
      <c r="C566" s="11"/>
      <c r="D566" s="11"/>
      <c r="E566" s="8" t="str">
        <f aca="false">IF($A566="","",IF($B566&lt;PlanDate,"Late",""))</f>
        <v/>
      </c>
    </row>
    <row r="567" customFormat="false" ht="15" hidden="false" customHeight="false" outlineLevel="0" collapsed="false">
      <c r="A567" s="11"/>
      <c r="B567" s="6"/>
      <c r="C567" s="11"/>
      <c r="D567" s="11"/>
      <c r="E567" s="8" t="str">
        <f aca="false">IF($A567="","",IF($B567&lt;PlanDate,"Late",""))</f>
        <v/>
      </c>
    </row>
    <row r="568" customFormat="false" ht="15" hidden="false" customHeight="false" outlineLevel="0" collapsed="false">
      <c r="A568" s="11"/>
      <c r="B568" s="6"/>
      <c r="C568" s="11"/>
      <c r="D568" s="11"/>
      <c r="E568" s="8" t="str">
        <f aca="false">IF($A568="","",IF($B568&lt;PlanDate,"Late",""))</f>
        <v/>
      </c>
    </row>
    <row r="569" customFormat="false" ht="15" hidden="false" customHeight="false" outlineLevel="0" collapsed="false">
      <c r="A569" s="11"/>
      <c r="B569" s="6"/>
      <c r="C569" s="11"/>
      <c r="D569" s="11"/>
      <c r="E569" s="8" t="str">
        <f aca="false">IF($A569="","",IF($B569&lt;PlanDate,"Late",""))</f>
        <v/>
      </c>
    </row>
    <row r="570" customFormat="false" ht="15" hidden="false" customHeight="false" outlineLevel="0" collapsed="false">
      <c r="A570" s="11"/>
      <c r="B570" s="6"/>
      <c r="C570" s="11"/>
      <c r="D570" s="11"/>
      <c r="E570" s="8" t="str">
        <f aca="false">IF($A570="","",IF($B570&lt;PlanDate,"Late",""))</f>
        <v/>
      </c>
    </row>
    <row r="571" customFormat="false" ht="15" hidden="false" customHeight="false" outlineLevel="0" collapsed="false">
      <c r="A571" s="11"/>
      <c r="B571" s="6"/>
      <c r="C571" s="11"/>
      <c r="D571" s="11"/>
      <c r="E571" s="8" t="str">
        <f aca="false">IF($A571="","",IF($B571&lt;PlanDate,"Late",""))</f>
        <v/>
      </c>
    </row>
    <row r="572" customFormat="false" ht="15" hidden="false" customHeight="false" outlineLevel="0" collapsed="false">
      <c r="A572" s="11"/>
      <c r="B572" s="6"/>
      <c r="C572" s="11"/>
      <c r="D572" s="11"/>
      <c r="E572" s="8" t="str">
        <f aca="false">IF($A572="","",IF($B572&lt;PlanDate,"Late",""))</f>
        <v/>
      </c>
    </row>
    <row r="573" customFormat="false" ht="15" hidden="false" customHeight="false" outlineLevel="0" collapsed="false">
      <c r="A573" s="11"/>
      <c r="B573" s="6"/>
      <c r="C573" s="11"/>
      <c r="D573" s="11"/>
      <c r="E573" s="8" t="str">
        <f aca="false">IF($A573="","",IF($B573&lt;PlanDate,"Late",""))</f>
        <v/>
      </c>
    </row>
    <row r="574" customFormat="false" ht="15" hidden="false" customHeight="false" outlineLevel="0" collapsed="false">
      <c r="A574" s="11"/>
      <c r="B574" s="6"/>
      <c r="C574" s="11"/>
      <c r="D574" s="11"/>
      <c r="E574" s="8" t="str">
        <f aca="false">IF($A574="","",IF($B574&lt;PlanDate,"Late",""))</f>
        <v/>
      </c>
    </row>
    <row r="575" customFormat="false" ht="15" hidden="false" customHeight="false" outlineLevel="0" collapsed="false">
      <c r="A575" s="11"/>
      <c r="B575" s="6"/>
      <c r="C575" s="11"/>
      <c r="D575" s="11"/>
      <c r="E575" s="8" t="str">
        <f aca="false">IF($A575="","",IF($B575&lt;PlanDate,"Late",""))</f>
        <v/>
      </c>
    </row>
    <row r="576" customFormat="false" ht="15" hidden="false" customHeight="false" outlineLevel="0" collapsed="false">
      <c r="A576" s="11"/>
      <c r="B576" s="6"/>
      <c r="C576" s="11"/>
      <c r="D576" s="11"/>
      <c r="E576" s="8" t="str">
        <f aca="false">IF($A576="","",IF($B576&lt;PlanDate,"Late",""))</f>
        <v/>
      </c>
    </row>
    <row r="577" customFormat="false" ht="15" hidden="false" customHeight="false" outlineLevel="0" collapsed="false">
      <c r="A577" s="11"/>
      <c r="B577" s="6"/>
      <c r="C577" s="11"/>
      <c r="D577" s="11"/>
      <c r="E577" s="8" t="str">
        <f aca="false">IF($A577="","",IF($B577&lt;PlanDate,"Late",""))</f>
        <v/>
      </c>
    </row>
    <row r="578" customFormat="false" ht="15" hidden="false" customHeight="false" outlineLevel="0" collapsed="false">
      <c r="A578" s="11"/>
      <c r="B578" s="6"/>
      <c r="C578" s="11"/>
      <c r="D578" s="11"/>
      <c r="E578" s="8" t="str">
        <f aca="false">IF($A578="","",IF($B578&lt;PlanDate,"Late",""))</f>
        <v/>
      </c>
    </row>
    <row r="579" customFormat="false" ht="15" hidden="false" customHeight="false" outlineLevel="0" collapsed="false">
      <c r="A579" s="11"/>
      <c r="B579" s="6"/>
      <c r="C579" s="11"/>
      <c r="D579" s="11"/>
      <c r="E579" s="8" t="str">
        <f aca="false">IF($A579="","",IF($B579&lt;PlanDate,"Late",""))</f>
        <v/>
      </c>
    </row>
    <row r="580" customFormat="false" ht="15" hidden="false" customHeight="false" outlineLevel="0" collapsed="false">
      <c r="A580" s="11"/>
      <c r="B580" s="6"/>
      <c r="C580" s="11"/>
      <c r="D580" s="11"/>
      <c r="E580" s="8" t="str">
        <f aca="false">IF($A580="","",IF($B580&lt;PlanDate,"Late",""))</f>
        <v/>
      </c>
    </row>
    <row r="581" customFormat="false" ht="15" hidden="false" customHeight="false" outlineLevel="0" collapsed="false">
      <c r="A581" s="11"/>
      <c r="B581" s="6"/>
      <c r="C581" s="11"/>
      <c r="D581" s="11"/>
      <c r="E581" s="8" t="str">
        <f aca="false">IF($A581="","",IF($B581&lt;PlanDate,"Late",""))</f>
        <v/>
      </c>
    </row>
    <row r="582" customFormat="false" ht="15" hidden="false" customHeight="false" outlineLevel="0" collapsed="false">
      <c r="A582" s="11"/>
      <c r="B582" s="6"/>
      <c r="C582" s="11"/>
      <c r="D582" s="11"/>
      <c r="E582" s="8" t="str">
        <f aca="false">IF($A582="","",IF($B582&lt;PlanDate,"Late",""))</f>
        <v/>
      </c>
    </row>
    <row r="583" customFormat="false" ht="15" hidden="false" customHeight="false" outlineLevel="0" collapsed="false">
      <c r="A583" s="11"/>
      <c r="B583" s="6"/>
      <c r="C583" s="11"/>
      <c r="D583" s="11"/>
      <c r="E583" s="8" t="str">
        <f aca="false">IF($A583="","",IF($B583&lt;PlanDate,"Late",""))</f>
        <v/>
      </c>
    </row>
    <row r="584" customFormat="false" ht="15" hidden="false" customHeight="false" outlineLevel="0" collapsed="false">
      <c r="A584" s="11"/>
      <c r="B584" s="6"/>
      <c r="C584" s="11"/>
      <c r="D584" s="11"/>
      <c r="E584" s="8" t="str">
        <f aca="false">IF($A584="","",IF($B584&lt;PlanDate,"Late",""))</f>
        <v/>
      </c>
    </row>
    <row r="585" customFormat="false" ht="15" hidden="false" customHeight="false" outlineLevel="0" collapsed="false">
      <c r="A585" s="11"/>
      <c r="B585" s="6"/>
      <c r="C585" s="11"/>
      <c r="D585" s="11"/>
      <c r="E585" s="8" t="str">
        <f aca="false">IF($A585="","",IF($B585&lt;PlanDate,"Late",""))</f>
        <v/>
      </c>
    </row>
    <row r="586" customFormat="false" ht="15" hidden="false" customHeight="false" outlineLevel="0" collapsed="false">
      <c r="A586" s="11"/>
      <c r="B586" s="6"/>
      <c r="C586" s="11"/>
      <c r="D586" s="11"/>
      <c r="E586" s="8" t="str">
        <f aca="false">IF($A586="","",IF($B586&lt;PlanDate,"Late",""))</f>
        <v/>
      </c>
    </row>
    <row r="587" customFormat="false" ht="15" hidden="false" customHeight="false" outlineLevel="0" collapsed="false">
      <c r="A587" s="11"/>
      <c r="B587" s="6"/>
      <c r="C587" s="11"/>
      <c r="D587" s="11"/>
      <c r="E587" s="8" t="str">
        <f aca="false">IF($A587="","",IF($B587&lt;PlanDate,"Late",""))</f>
        <v/>
      </c>
    </row>
    <row r="588" customFormat="false" ht="15" hidden="false" customHeight="false" outlineLevel="0" collapsed="false">
      <c r="A588" s="11"/>
      <c r="B588" s="6"/>
      <c r="C588" s="11"/>
      <c r="D588" s="11"/>
      <c r="E588" s="8" t="str">
        <f aca="false">IF($A588="","",IF($B588&lt;PlanDate,"Late",""))</f>
        <v/>
      </c>
    </row>
    <row r="589" customFormat="false" ht="15" hidden="false" customHeight="false" outlineLevel="0" collapsed="false">
      <c r="A589" s="11"/>
      <c r="B589" s="6"/>
      <c r="C589" s="11"/>
      <c r="D589" s="11"/>
      <c r="E589" s="8" t="str">
        <f aca="false">IF($A589="","",IF($B589&lt;PlanDate,"Late",""))</f>
        <v/>
      </c>
    </row>
    <row r="590" customFormat="false" ht="15" hidden="false" customHeight="false" outlineLevel="0" collapsed="false">
      <c r="A590" s="11"/>
      <c r="B590" s="6"/>
      <c r="C590" s="11"/>
      <c r="D590" s="11"/>
      <c r="E590" s="8" t="str">
        <f aca="false">IF($A590="","",IF($B590&lt;PlanDate,"Late",""))</f>
        <v/>
      </c>
    </row>
    <row r="591" customFormat="false" ht="15" hidden="false" customHeight="false" outlineLevel="0" collapsed="false">
      <c r="A591" s="11"/>
      <c r="B591" s="6"/>
      <c r="C591" s="11"/>
      <c r="D591" s="11"/>
      <c r="E591" s="8" t="str">
        <f aca="false">IF($A591="","",IF($B591&lt;PlanDate,"Late",""))</f>
        <v/>
      </c>
    </row>
    <row r="592" customFormat="false" ht="15" hidden="false" customHeight="false" outlineLevel="0" collapsed="false">
      <c r="A592" s="11"/>
      <c r="B592" s="6"/>
      <c r="C592" s="11"/>
      <c r="D592" s="11"/>
      <c r="E592" s="8" t="str">
        <f aca="false">IF($A592="","",IF($B592&lt;PlanDate,"Late",""))</f>
        <v/>
      </c>
    </row>
    <row r="593" customFormat="false" ht="15" hidden="false" customHeight="false" outlineLevel="0" collapsed="false">
      <c r="A593" s="11"/>
      <c r="B593" s="6"/>
      <c r="C593" s="11"/>
      <c r="D593" s="11"/>
      <c r="E593" s="8" t="str">
        <f aca="false">IF($A593="","",IF($B593&lt;PlanDate,"Late",""))</f>
        <v/>
      </c>
    </row>
    <row r="594" customFormat="false" ht="15" hidden="false" customHeight="false" outlineLevel="0" collapsed="false">
      <c r="A594" s="11"/>
      <c r="B594" s="6"/>
      <c r="C594" s="11"/>
      <c r="D594" s="11"/>
      <c r="E594" s="8" t="str">
        <f aca="false">IF($A594="","",IF($B594&lt;PlanDate,"Late",""))</f>
        <v/>
      </c>
    </row>
    <row r="595" customFormat="false" ht="15" hidden="false" customHeight="false" outlineLevel="0" collapsed="false">
      <c r="A595" s="11"/>
      <c r="B595" s="6"/>
      <c r="C595" s="11"/>
      <c r="D595" s="11"/>
      <c r="E595" s="8" t="str">
        <f aca="false">IF($A595="","",IF($B595&lt;PlanDate,"Late",""))</f>
        <v/>
      </c>
    </row>
    <row r="596" customFormat="false" ht="15" hidden="false" customHeight="false" outlineLevel="0" collapsed="false">
      <c r="A596" s="11"/>
      <c r="B596" s="6"/>
      <c r="C596" s="11"/>
      <c r="D596" s="11"/>
      <c r="E596" s="8" t="str">
        <f aca="false">IF($A596="","",IF($B596&lt;PlanDate,"Late",""))</f>
        <v/>
      </c>
    </row>
    <row r="597" customFormat="false" ht="15" hidden="false" customHeight="false" outlineLevel="0" collapsed="false">
      <c r="A597" s="11"/>
      <c r="B597" s="6"/>
      <c r="C597" s="11"/>
      <c r="D597" s="11"/>
      <c r="E597" s="8" t="str">
        <f aca="false">IF($A597="","",IF($B597&lt;PlanDate,"Late",""))</f>
        <v/>
      </c>
    </row>
    <row r="598" customFormat="false" ht="15" hidden="false" customHeight="false" outlineLevel="0" collapsed="false">
      <c r="A598" s="11"/>
      <c r="B598" s="6"/>
      <c r="C598" s="11"/>
      <c r="D598" s="11"/>
      <c r="E598" s="8" t="str">
        <f aca="false">IF($A598="","",IF($B598&lt;PlanDate,"Late",""))</f>
        <v/>
      </c>
    </row>
    <row r="599" customFormat="false" ht="15" hidden="false" customHeight="false" outlineLevel="0" collapsed="false">
      <c r="A599" s="11"/>
      <c r="B599" s="6"/>
      <c r="C599" s="11"/>
      <c r="D599" s="11"/>
      <c r="E599" s="8" t="str">
        <f aca="false">IF($A599="","",IF($B599&lt;PlanDate,"Late",""))</f>
        <v/>
      </c>
    </row>
    <row r="600" customFormat="false" ht="15" hidden="false" customHeight="false" outlineLevel="0" collapsed="false">
      <c r="A600" s="11"/>
      <c r="B600" s="6"/>
      <c r="C600" s="11"/>
      <c r="D600" s="11"/>
      <c r="E600" s="8" t="str">
        <f aca="false">IF($A600="","",IF($B600&lt;PlanDate,"Late",""))</f>
        <v/>
      </c>
    </row>
    <row r="601" customFormat="false" ht="15" hidden="false" customHeight="false" outlineLevel="0" collapsed="false">
      <c r="A601" s="11"/>
      <c r="B601" s="6"/>
      <c r="C601" s="11"/>
      <c r="D601" s="11"/>
      <c r="E601" s="8" t="str">
        <f aca="false">IF($A601="","",IF($B601&lt;PlanDate,"Late",""))</f>
        <v/>
      </c>
    </row>
    <row r="602" customFormat="false" ht="15" hidden="false" customHeight="false" outlineLevel="0" collapsed="false">
      <c r="A602" s="11"/>
      <c r="B602" s="6"/>
      <c r="C602" s="11"/>
      <c r="D602" s="11"/>
      <c r="E602" s="8" t="str">
        <f aca="false">IF($A602="","",IF($B602&lt;PlanDate,"Late",""))</f>
        <v/>
      </c>
    </row>
    <row r="603" customFormat="false" ht="15" hidden="false" customHeight="false" outlineLevel="0" collapsed="false">
      <c r="A603" s="11"/>
      <c r="B603" s="6"/>
      <c r="C603" s="11"/>
      <c r="D603" s="11"/>
      <c r="E603" s="8" t="str">
        <f aca="false">IF($A603="","",IF($B603&lt;PlanDate,"Late",""))</f>
        <v/>
      </c>
    </row>
    <row r="604" customFormat="false" ht="15" hidden="false" customHeight="false" outlineLevel="0" collapsed="false">
      <c r="A604" s="11"/>
      <c r="B604" s="6"/>
      <c r="C604" s="11"/>
      <c r="D604" s="11"/>
      <c r="E604" s="8" t="str">
        <f aca="false">IF($A604="","",IF($B604&lt;PlanDate,"Late",""))</f>
        <v/>
      </c>
    </row>
    <row r="605" customFormat="false" ht="15" hidden="false" customHeight="false" outlineLevel="0" collapsed="false">
      <c r="A605" s="11"/>
      <c r="B605" s="6"/>
      <c r="C605" s="11"/>
      <c r="D605" s="11"/>
      <c r="E605" s="8" t="str">
        <f aca="false">IF($A605="","",IF($B605&lt;PlanDate,"Late",""))</f>
        <v/>
      </c>
    </row>
    <row r="606" customFormat="false" ht="15" hidden="false" customHeight="false" outlineLevel="0" collapsed="false">
      <c r="A606" s="11"/>
      <c r="B606" s="6"/>
      <c r="C606" s="11"/>
      <c r="D606" s="11"/>
      <c r="E606" s="8" t="str">
        <f aca="false">IF($A606="","",IF($B606&lt;PlanDate,"Late",""))</f>
        <v/>
      </c>
    </row>
    <row r="607" customFormat="false" ht="15" hidden="false" customHeight="false" outlineLevel="0" collapsed="false">
      <c r="A607" s="11"/>
      <c r="B607" s="6"/>
      <c r="C607" s="11"/>
      <c r="D607" s="11"/>
      <c r="E607" s="8" t="str">
        <f aca="false">IF($A607="","",IF($B607&lt;PlanDate,"Late",""))</f>
        <v/>
      </c>
    </row>
    <row r="608" customFormat="false" ht="15" hidden="false" customHeight="false" outlineLevel="0" collapsed="false">
      <c r="A608" s="11"/>
      <c r="B608" s="6"/>
      <c r="C608" s="11"/>
      <c r="D608" s="11"/>
      <c r="E608" s="8" t="str">
        <f aca="false">IF($A608="","",IF($B608&lt;PlanDate,"Late",""))</f>
        <v/>
      </c>
    </row>
    <row r="609" customFormat="false" ht="15" hidden="false" customHeight="false" outlineLevel="0" collapsed="false">
      <c r="A609" s="11"/>
      <c r="B609" s="6"/>
      <c r="C609" s="11"/>
      <c r="D609" s="11"/>
      <c r="E609" s="8" t="str">
        <f aca="false">IF($A609="","",IF($B609&lt;PlanDate,"Late",""))</f>
        <v/>
      </c>
    </row>
    <row r="610" customFormat="false" ht="15" hidden="false" customHeight="false" outlineLevel="0" collapsed="false">
      <c r="A610" s="11"/>
      <c r="B610" s="6"/>
      <c r="C610" s="11"/>
      <c r="D610" s="11"/>
      <c r="E610" s="8" t="str">
        <f aca="false">IF($A610="","",IF($B610&lt;PlanDate,"Late",""))</f>
        <v/>
      </c>
    </row>
    <row r="611" customFormat="false" ht="15" hidden="false" customHeight="false" outlineLevel="0" collapsed="false">
      <c r="A611" s="11"/>
      <c r="B611" s="6"/>
      <c r="C611" s="11"/>
      <c r="D611" s="11"/>
      <c r="E611" s="8" t="str">
        <f aca="false">IF($A611="","",IF($B611&lt;PlanDate,"Late",""))</f>
        <v/>
      </c>
    </row>
    <row r="612" customFormat="false" ht="15" hidden="false" customHeight="false" outlineLevel="0" collapsed="false">
      <c r="A612" s="11"/>
      <c r="B612" s="6"/>
      <c r="C612" s="11"/>
      <c r="D612" s="11"/>
      <c r="E612" s="8" t="str">
        <f aca="false">IF($A612="","",IF($B612&lt;PlanDate,"Late",""))</f>
        <v/>
      </c>
    </row>
    <row r="613" customFormat="false" ht="15" hidden="false" customHeight="false" outlineLevel="0" collapsed="false">
      <c r="A613" s="11"/>
      <c r="B613" s="6"/>
      <c r="C613" s="11"/>
      <c r="D613" s="11"/>
      <c r="E613" s="8" t="str">
        <f aca="false">IF($A613="","",IF($B613&lt;PlanDate,"Late",""))</f>
        <v/>
      </c>
    </row>
    <row r="614" customFormat="false" ht="15" hidden="false" customHeight="false" outlineLevel="0" collapsed="false">
      <c r="A614" s="11"/>
      <c r="B614" s="6"/>
      <c r="C614" s="11"/>
      <c r="D614" s="11"/>
      <c r="E614" s="8" t="str">
        <f aca="false">IF($A614="","",IF($B614&lt;PlanDate,"Late",""))</f>
        <v/>
      </c>
    </row>
    <row r="615" customFormat="false" ht="15" hidden="false" customHeight="false" outlineLevel="0" collapsed="false">
      <c r="A615" s="11"/>
      <c r="B615" s="6"/>
      <c r="C615" s="11"/>
      <c r="D615" s="11"/>
      <c r="E615" s="8" t="str">
        <f aca="false">IF($A615="","",IF($B615&lt;PlanDate,"Late",""))</f>
        <v/>
      </c>
    </row>
    <row r="616" customFormat="false" ht="15" hidden="false" customHeight="false" outlineLevel="0" collapsed="false">
      <c r="A616" s="11"/>
      <c r="B616" s="6"/>
      <c r="C616" s="11"/>
      <c r="D616" s="11"/>
      <c r="E616" s="8" t="str">
        <f aca="false">IF($A616="","",IF($B616&lt;PlanDate,"Late",""))</f>
        <v/>
      </c>
    </row>
    <row r="617" customFormat="false" ht="15" hidden="false" customHeight="false" outlineLevel="0" collapsed="false">
      <c r="A617" s="11"/>
      <c r="B617" s="6"/>
      <c r="C617" s="11"/>
      <c r="D617" s="11"/>
      <c r="E617" s="8" t="str">
        <f aca="false">IF($A617="","",IF($B617&lt;PlanDate,"Late",""))</f>
        <v/>
      </c>
    </row>
    <row r="618" customFormat="false" ht="15" hidden="false" customHeight="false" outlineLevel="0" collapsed="false">
      <c r="A618" s="11"/>
      <c r="B618" s="6"/>
      <c r="C618" s="11"/>
      <c r="D618" s="11"/>
      <c r="E618" s="8" t="str">
        <f aca="false">IF($A618="","",IF($B618&lt;PlanDate,"Late",""))</f>
        <v/>
      </c>
    </row>
    <row r="619" customFormat="false" ht="15" hidden="false" customHeight="false" outlineLevel="0" collapsed="false">
      <c r="A619" s="11"/>
      <c r="B619" s="6"/>
      <c r="C619" s="11"/>
      <c r="D619" s="11"/>
      <c r="E619" s="8" t="str">
        <f aca="false">IF($A619="","",IF($B619&lt;PlanDate,"Late",""))</f>
        <v/>
      </c>
    </row>
    <row r="620" customFormat="false" ht="15" hidden="false" customHeight="false" outlineLevel="0" collapsed="false">
      <c r="A620" s="11"/>
      <c r="B620" s="6"/>
      <c r="C620" s="11"/>
      <c r="D620" s="11"/>
      <c r="E620" s="8" t="str">
        <f aca="false">IF($A620="","",IF($B620&lt;PlanDate,"Late",""))</f>
        <v/>
      </c>
    </row>
    <row r="621" customFormat="false" ht="15" hidden="false" customHeight="false" outlineLevel="0" collapsed="false">
      <c r="A621" s="11"/>
      <c r="B621" s="6"/>
      <c r="C621" s="11"/>
      <c r="D621" s="11"/>
      <c r="E621" s="8" t="str">
        <f aca="false">IF($A621="","",IF($B621&lt;PlanDate,"Late",""))</f>
        <v/>
      </c>
    </row>
    <row r="622" customFormat="false" ht="15" hidden="false" customHeight="false" outlineLevel="0" collapsed="false">
      <c r="A622" s="11"/>
      <c r="B622" s="6"/>
      <c r="C622" s="11"/>
      <c r="D622" s="11"/>
      <c r="E622" s="8" t="str">
        <f aca="false">IF($A622="","",IF($B622&lt;PlanDate,"Late",""))</f>
        <v/>
      </c>
    </row>
    <row r="623" customFormat="false" ht="15" hidden="false" customHeight="false" outlineLevel="0" collapsed="false">
      <c r="A623" s="11"/>
      <c r="B623" s="6"/>
      <c r="C623" s="11"/>
      <c r="D623" s="11"/>
      <c r="E623" s="8" t="str">
        <f aca="false">IF($A623="","",IF($B623&lt;PlanDate,"Late",""))</f>
        <v/>
      </c>
    </row>
    <row r="624" customFormat="false" ht="15" hidden="false" customHeight="false" outlineLevel="0" collapsed="false">
      <c r="A624" s="11"/>
      <c r="B624" s="6"/>
      <c r="C624" s="11"/>
      <c r="D624" s="11"/>
      <c r="E624" s="8" t="str">
        <f aca="false">IF($A624="","",IF($B624&lt;PlanDate,"Late",""))</f>
        <v/>
      </c>
    </row>
    <row r="625" customFormat="false" ht="15" hidden="false" customHeight="false" outlineLevel="0" collapsed="false">
      <c r="A625" s="11"/>
      <c r="B625" s="6"/>
      <c r="C625" s="11"/>
      <c r="D625" s="11"/>
      <c r="E625" s="8" t="str">
        <f aca="false">IF($A625="","",IF($B625&lt;PlanDate,"Late",""))</f>
        <v/>
      </c>
    </row>
    <row r="626" customFormat="false" ht="15" hidden="false" customHeight="false" outlineLevel="0" collapsed="false">
      <c r="A626" s="11"/>
      <c r="B626" s="6"/>
      <c r="C626" s="11"/>
      <c r="D626" s="11"/>
      <c r="E626" s="8" t="str">
        <f aca="false">IF($A626="","",IF($B626&lt;PlanDate,"Late",""))</f>
        <v/>
      </c>
    </row>
    <row r="627" customFormat="false" ht="15" hidden="false" customHeight="false" outlineLevel="0" collapsed="false">
      <c r="A627" s="11"/>
      <c r="B627" s="6"/>
      <c r="C627" s="11"/>
      <c r="D627" s="11"/>
      <c r="E627" s="8" t="str">
        <f aca="false">IF($A627="","",IF($B627&lt;PlanDate,"Late",""))</f>
        <v/>
      </c>
    </row>
    <row r="628" customFormat="false" ht="15" hidden="false" customHeight="false" outlineLevel="0" collapsed="false">
      <c r="A628" s="11"/>
      <c r="B628" s="6"/>
      <c r="C628" s="11"/>
      <c r="D628" s="11"/>
      <c r="E628" s="8" t="str">
        <f aca="false">IF($A628="","",IF($B628&lt;PlanDate,"Late",""))</f>
        <v/>
      </c>
    </row>
    <row r="629" customFormat="false" ht="15" hidden="false" customHeight="false" outlineLevel="0" collapsed="false">
      <c r="A629" s="11"/>
      <c r="B629" s="6"/>
      <c r="C629" s="11"/>
      <c r="D629" s="11"/>
      <c r="E629" s="8" t="str">
        <f aca="false">IF($A629="","",IF($B629&lt;PlanDate,"Late",""))</f>
        <v/>
      </c>
    </row>
    <row r="630" customFormat="false" ht="15" hidden="false" customHeight="false" outlineLevel="0" collapsed="false">
      <c r="A630" s="11"/>
      <c r="B630" s="6"/>
      <c r="C630" s="11"/>
      <c r="D630" s="11"/>
      <c r="E630" s="8" t="str">
        <f aca="false">IF($A630="","",IF($B630&lt;PlanDate,"Late",""))</f>
        <v/>
      </c>
    </row>
    <row r="631" customFormat="false" ht="15" hidden="false" customHeight="false" outlineLevel="0" collapsed="false">
      <c r="A631" s="11"/>
      <c r="B631" s="6"/>
      <c r="C631" s="11"/>
      <c r="D631" s="11"/>
      <c r="E631" s="8" t="str">
        <f aca="false">IF($A631="","",IF($B631&lt;PlanDate,"Late",""))</f>
        <v/>
      </c>
    </row>
    <row r="632" customFormat="false" ht="15" hidden="false" customHeight="false" outlineLevel="0" collapsed="false">
      <c r="A632" s="11"/>
      <c r="B632" s="6"/>
      <c r="C632" s="11"/>
      <c r="D632" s="11"/>
      <c r="E632" s="8" t="str">
        <f aca="false">IF($A632="","",IF($B632&lt;PlanDate,"Late",""))</f>
        <v/>
      </c>
    </row>
    <row r="633" customFormat="false" ht="15" hidden="false" customHeight="false" outlineLevel="0" collapsed="false">
      <c r="A633" s="11"/>
      <c r="B633" s="6"/>
      <c r="C633" s="11"/>
      <c r="D633" s="11"/>
      <c r="E633" s="8" t="str">
        <f aca="false">IF($A633="","",IF($B633&lt;PlanDate,"Late",""))</f>
        <v/>
      </c>
    </row>
    <row r="634" customFormat="false" ht="15" hidden="false" customHeight="false" outlineLevel="0" collapsed="false">
      <c r="A634" s="11"/>
      <c r="B634" s="6"/>
      <c r="C634" s="11"/>
      <c r="D634" s="11"/>
      <c r="E634" s="8" t="str">
        <f aca="false">IF($A634="","",IF($B634&lt;PlanDate,"Late",""))</f>
        <v/>
      </c>
    </row>
    <row r="635" customFormat="false" ht="15" hidden="false" customHeight="false" outlineLevel="0" collapsed="false">
      <c r="A635" s="11"/>
      <c r="B635" s="6"/>
      <c r="C635" s="11"/>
      <c r="D635" s="11"/>
      <c r="E635" s="8" t="str">
        <f aca="false">IF($A635="","",IF($B635&lt;PlanDate,"Late",""))</f>
        <v/>
      </c>
    </row>
    <row r="636" customFormat="false" ht="15" hidden="false" customHeight="false" outlineLevel="0" collapsed="false">
      <c r="A636" s="11"/>
      <c r="B636" s="6"/>
      <c r="C636" s="11"/>
      <c r="D636" s="11"/>
      <c r="E636" s="8" t="str">
        <f aca="false">IF($A636="","",IF($B636&lt;PlanDate,"Late",""))</f>
        <v/>
      </c>
    </row>
    <row r="637" customFormat="false" ht="15" hidden="false" customHeight="false" outlineLevel="0" collapsed="false">
      <c r="A637" s="11"/>
      <c r="B637" s="6"/>
      <c r="C637" s="11"/>
      <c r="D637" s="11"/>
      <c r="E637" s="8" t="str">
        <f aca="false">IF($A637="","",IF($B637&lt;PlanDate,"Late",""))</f>
        <v/>
      </c>
    </row>
    <row r="638" customFormat="false" ht="15" hidden="false" customHeight="false" outlineLevel="0" collapsed="false">
      <c r="A638" s="11"/>
      <c r="B638" s="6"/>
      <c r="C638" s="11"/>
      <c r="D638" s="11"/>
      <c r="E638" s="8" t="str">
        <f aca="false">IF($A638="","",IF($B638&lt;PlanDate,"Late",""))</f>
        <v/>
      </c>
    </row>
    <row r="639" customFormat="false" ht="15" hidden="false" customHeight="false" outlineLevel="0" collapsed="false">
      <c r="A639" s="11"/>
      <c r="B639" s="6"/>
      <c r="C639" s="11"/>
      <c r="D639" s="11"/>
      <c r="E639" s="8" t="str">
        <f aca="false">IF($A639="","",IF($B639&lt;PlanDate,"Late",""))</f>
        <v/>
      </c>
    </row>
    <row r="640" customFormat="false" ht="15" hidden="false" customHeight="false" outlineLevel="0" collapsed="false">
      <c r="A640" s="11"/>
      <c r="B640" s="6"/>
      <c r="C640" s="11"/>
      <c r="D640" s="11"/>
      <c r="E640" s="8" t="str">
        <f aca="false">IF($A640="","",IF($B640&lt;PlanDate,"Late",""))</f>
        <v/>
      </c>
    </row>
    <row r="641" customFormat="false" ht="15" hidden="false" customHeight="false" outlineLevel="0" collapsed="false">
      <c r="A641" s="11"/>
      <c r="B641" s="6"/>
      <c r="C641" s="11"/>
      <c r="D641" s="11"/>
      <c r="E641" s="8" t="str">
        <f aca="false">IF($A641="","",IF($B641&lt;PlanDate,"Late",""))</f>
        <v/>
      </c>
    </row>
    <row r="642" customFormat="false" ht="15" hidden="false" customHeight="false" outlineLevel="0" collapsed="false">
      <c r="A642" s="11"/>
      <c r="B642" s="6"/>
      <c r="C642" s="11"/>
      <c r="D642" s="11"/>
      <c r="E642" s="8" t="str">
        <f aca="false">IF($A642="","",IF($B642&lt;PlanDate,"Late",""))</f>
        <v/>
      </c>
    </row>
    <row r="643" customFormat="false" ht="15" hidden="false" customHeight="false" outlineLevel="0" collapsed="false">
      <c r="A643" s="11"/>
      <c r="B643" s="6"/>
      <c r="C643" s="11"/>
      <c r="D643" s="11"/>
      <c r="E643" s="8" t="str">
        <f aca="false">IF($A643="","",IF($B643&lt;PlanDate,"Late",""))</f>
        <v/>
      </c>
    </row>
    <row r="644" customFormat="false" ht="15" hidden="false" customHeight="false" outlineLevel="0" collapsed="false">
      <c r="A644" s="11"/>
      <c r="B644" s="6"/>
      <c r="C644" s="11"/>
      <c r="D644" s="11"/>
      <c r="E644" s="8" t="str">
        <f aca="false">IF($A644="","",IF($B644&lt;PlanDate,"Late",""))</f>
        <v/>
      </c>
    </row>
    <row r="645" customFormat="false" ht="15" hidden="false" customHeight="false" outlineLevel="0" collapsed="false">
      <c r="A645" s="11"/>
      <c r="B645" s="6"/>
      <c r="C645" s="11"/>
      <c r="D645" s="11"/>
      <c r="E645" s="8" t="str">
        <f aca="false">IF($A645="","",IF($B645&lt;PlanDate,"Late",""))</f>
        <v/>
      </c>
    </row>
    <row r="646" customFormat="false" ht="15" hidden="false" customHeight="false" outlineLevel="0" collapsed="false">
      <c r="A646" s="11"/>
      <c r="B646" s="6"/>
      <c r="C646" s="11"/>
      <c r="D646" s="11"/>
      <c r="E646" s="8" t="str">
        <f aca="false">IF($A646="","",IF($B646&lt;PlanDate,"Late",""))</f>
        <v/>
      </c>
    </row>
    <row r="647" customFormat="false" ht="15" hidden="false" customHeight="false" outlineLevel="0" collapsed="false">
      <c r="A647" s="11"/>
      <c r="B647" s="6"/>
      <c r="C647" s="11"/>
      <c r="D647" s="11"/>
      <c r="E647" s="8" t="str">
        <f aca="false">IF($A647="","",IF($B647&lt;PlanDate,"Late",""))</f>
        <v/>
      </c>
    </row>
    <row r="648" customFormat="false" ht="15" hidden="false" customHeight="false" outlineLevel="0" collapsed="false">
      <c r="A648" s="11"/>
      <c r="B648" s="6"/>
      <c r="C648" s="11"/>
      <c r="D648" s="11"/>
      <c r="E648" s="8" t="str">
        <f aca="false">IF($A648="","",IF($B648&lt;PlanDate,"Late",""))</f>
        <v/>
      </c>
    </row>
    <row r="649" customFormat="false" ht="15" hidden="false" customHeight="false" outlineLevel="0" collapsed="false">
      <c r="A649" s="11"/>
      <c r="B649" s="6"/>
      <c r="C649" s="11"/>
      <c r="D649" s="11"/>
      <c r="E649" s="8" t="str">
        <f aca="false">IF($A649="","",IF($B649&lt;PlanDate,"Late",""))</f>
        <v/>
      </c>
    </row>
    <row r="650" customFormat="false" ht="15" hidden="false" customHeight="false" outlineLevel="0" collapsed="false">
      <c r="A650" s="11"/>
      <c r="B650" s="6"/>
      <c r="C650" s="11"/>
      <c r="D650" s="11"/>
      <c r="E650" s="8" t="str">
        <f aca="false">IF($A650="","",IF($B650&lt;PlanDate,"Late",""))</f>
        <v/>
      </c>
    </row>
    <row r="651" customFormat="false" ht="15" hidden="false" customHeight="false" outlineLevel="0" collapsed="false">
      <c r="A651" s="11"/>
      <c r="B651" s="6"/>
      <c r="C651" s="11"/>
      <c r="D651" s="11"/>
      <c r="E651" s="8" t="str">
        <f aca="false">IF($A651="","",IF($B651&lt;PlanDate,"Late",""))</f>
        <v/>
      </c>
    </row>
    <row r="652" customFormat="false" ht="15" hidden="false" customHeight="false" outlineLevel="0" collapsed="false">
      <c r="A652" s="11"/>
      <c r="B652" s="6"/>
      <c r="C652" s="11"/>
      <c r="D652" s="11"/>
      <c r="E652" s="8" t="str">
        <f aca="false">IF($A652="","",IF($B652&lt;PlanDate,"Late",""))</f>
        <v/>
      </c>
    </row>
    <row r="653" customFormat="false" ht="15" hidden="false" customHeight="false" outlineLevel="0" collapsed="false">
      <c r="A653" s="11"/>
      <c r="B653" s="6"/>
      <c r="C653" s="11"/>
      <c r="D653" s="11"/>
      <c r="E653" s="8" t="str">
        <f aca="false">IF($A653="","",IF($B653&lt;PlanDate,"Late",""))</f>
        <v/>
      </c>
    </row>
    <row r="654" customFormat="false" ht="15" hidden="false" customHeight="false" outlineLevel="0" collapsed="false">
      <c r="A654" s="11"/>
      <c r="B654" s="6"/>
      <c r="C654" s="11"/>
      <c r="D654" s="11"/>
      <c r="E654" s="8" t="str">
        <f aca="false">IF($A654="","",IF($B654&lt;PlanDate,"Late",""))</f>
        <v/>
      </c>
    </row>
    <row r="655" customFormat="false" ht="15" hidden="false" customHeight="false" outlineLevel="0" collapsed="false">
      <c r="A655" s="11"/>
      <c r="B655" s="6"/>
      <c r="C655" s="11"/>
      <c r="D655" s="11"/>
      <c r="E655" s="8" t="str">
        <f aca="false">IF($A655="","",IF($B655&lt;PlanDate,"Late",""))</f>
        <v/>
      </c>
    </row>
    <row r="656" customFormat="false" ht="15" hidden="false" customHeight="false" outlineLevel="0" collapsed="false">
      <c r="A656" s="11"/>
      <c r="B656" s="6"/>
      <c r="C656" s="11"/>
      <c r="D656" s="11"/>
      <c r="E656" s="8" t="str">
        <f aca="false">IF($A656="","",IF($B656&lt;PlanDate,"Late",""))</f>
        <v/>
      </c>
    </row>
    <row r="657" customFormat="false" ht="15" hidden="false" customHeight="false" outlineLevel="0" collapsed="false">
      <c r="A657" s="11"/>
      <c r="B657" s="6"/>
      <c r="C657" s="11"/>
      <c r="D657" s="11"/>
      <c r="E657" s="8" t="str">
        <f aca="false">IF($A657="","",IF($B657&lt;PlanDate,"Late",""))</f>
        <v/>
      </c>
    </row>
    <row r="658" customFormat="false" ht="15" hidden="false" customHeight="false" outlineLevel="0" collapsed="false">
      <c r="A658" s="11"/>
      <c r="B658" s="6"/>
      <c r="C658" s="11"/>
      <c r="D658" s="11"/>
      <c r="E658" s="8" t="str">
        <f aca="false">IF($A658="","",IF($B658&lt;PlanDate,"Late",""))</f>
        <v/>
      </c>
    </row>
    <row r="659" customFormat="false" ht="15" hidden="false" customHeight="false" outlineLevel="0" collapsed="false">
      <c r="A659" s="11"/>
      <c r="B659" s="6"/>
      <c r="C659" s="11"/>
      <c r="D659" s="11"/>
      <c r="E659" s="8" t="str">
        <f aca="false">IF($A659="","",IF($B659&lt;PlanDate,"Late",""))</f>
        <v/>
      </c>
    </row>
    <row r="660" customFormat="false" ht="15" hidden="false" customHeight="false" outlineLevel="0" collapsed="false">
      <c r="A660" s="11"/>
      <c r="B660" s="6"/>
      <c r="C660" s="11"/>
      <c r="D660" s="11"/>
      <c r="E660" s="8" t="str">
        <f aca="false">IF($A660="","",IF($B660&lt;PlanDate,"Late",""))</f>
        <v/>
      </c>
    </row>
    <row r="661" customFormat="false" ht="15" hidden="false" customHeight="false" outlineLevel="0" collapsed="false">
      <c r="A661" s="11"/>
      <c r="B661" s="6"/>
      <c r="C661" s="11"/>
      <c r="D661" s="11"/>
      <c r="E661" s="8" t="str">
        <f aca="false">IF($A661="","",IF($B661&lt;PlanDate,"Late",""))</f>
        <v/>
      </c>
    </row>
    <row r="662" customFormat="false" ht="15" hidden="false" customHeight="false" outlineLevel="0" collapsed="false">
      <c r="A662" s="11"/>
      <c r="B662" s="6"/>
      <c r="C662" s="11"/>
      <c r="D662" s="11"/>
      <c r="E662" s="8" t="str">
        <f aca="false">IF($A662="","",IF($B662&lt;PlanDate,"Late",""))</f>
        <v/>
      </c>
    </row>
    <row r="663" customFormat="false" ht="15" hidden="false" customHeight="false" outlineLevel="0" collapsed="false">
      <c r="A663" s="11"/>
      <c r="B663" s="6"/>
      <c r="C663" s="11"/>
      <c r="D663" s="11"/>
      <c r="E663" s="8" t="str">
        <f aca="false">IF($A663="","",IF($B663&lt;PlanDate,"Late",""))</f>
        <v/>
      </c>
    </row>
    <row r="664" customFormat="false" ht="15" hidden="false" customHeight="false" outlineLevel="0" collapsed="false">
      <c r="A664" s="11"/>
      <c r="B664" s="6"/>
      <c r="C664" s="11"/>
      <c r="D664" s="11"/>
      <c r="E664" s="8" t="str">
        <f aca="false">IF($A664="","",IF($B664&lt;PlanDate,"Late",""))</f>
        <v/>
      </c>
    </row>
    <row r="665" customFormat="false" ht="15" hidden="false" customHeight="false" outlineLevel="0" collapsed="false">
      <c r="A665" s="11"/>
      <c r="B665" s="6"/>
      <c r="C665" s="11"/>
      <c r="D665" s="11"/>
      <c r="E665" s="8" t="str">
        <f aca="false">IF($A665="","",IF($B665&lt;PlanDate,"Late",""))</f>
        <v/>
      </c>
    </row>
    <row r="666" customFormat="false" ht="15" hidden="false" customHeight="false" outlineLevel="0" collapsed="false">
      <c r="A666" s="11"/>
      <c r="B666" s="6"/>
      <c r="C666" s="11"/>
      <c r="D666" s="11"/>
      <c r="E666" s="8" t="str">
        <f aca="false">IF($A666="","",IF($B666&lt;PlanDate,"Late",""))</f>
        <v/>
      </c>
    </row>
    <row r="667" customFormat="false" ht="15" hidden="false" customHeight="false" outlineLevel="0" collapsed="false">
      <c r="A667" s="11"/>
      <c r="B667" s="6"/>
      <c r="C667" s="11"/>
      <c r="D667" s="11"/>
      <c r="E667" s="8" t="str">
        <f aca="false">IF($A667="","",IF($B667&lt;PlanDate,"Late",""))</f>
        <v/>
      </c>
    </row>
    <row r="668" customFormat="false" ht="15" hidden="false" customHeight="false" outlineLevel="0" collapsed="false">
      <c r="A668" s="11"/>
      <c r="B668" s="6"/>
      <c r="C668" s="11"/>
      <c r="D668" s="11"/>
      <c r="E668" s="8" t="str">
        <f aca="false">IF($A668="","",IF($B668&lt;PlanDate,"Late",""))</f>
        <v/>
      </c>
    </row>
    <row r="669" customFormat="false" ht="15" hidden="false" customHeight="false" outlineLevel="0" collapsed="false">
      <c r="A669" s="11"/>
      <c r="B669" s="6"/>
      <c r="C669" s="11"/>
      <c r="D669" s="11"/>
      <c r="E669" s="8" t="str">
        <f aca="false">IF($A669="","",IF($B669&lt;PlanDate,"Late",""))</f>
        <v/>
      </c>
    </row>
    <row r="670" customFormat="false" ht="15" hidden="false" customHeight="false" outlineLevel="0" collapsed="false">
      <c r="A670" s="11"/>
      <c r="B670" s="6"/>
      <c r="C670" s="11"/>
      <c r="D670" s="11"/>
      <c r="E670" s="8" t="str">
        <f aca="false">IF($A670="","",IF($B670&lt;PlanDate,"Late",""))</f>
        <v/>
      </c>
    </row>
    <row r="671" customFormat="false" ht="15" hidden="false" customHeight="false" outlineLevel="0" collapsed="false">
      <c r="A671" s="11"/>
      <c r="B671" s="6"/>
      <c r="C671" s="11"/>
      <c r="D671" s="11"/>
      <c r="E671" s="8" t="str">
        <f aca="false">IF($A671="","",IF($B671&lt;PlanDate,"Late",""))</f>
        <v/>
      </c>
    </row>
    <row r="672" customFormat="false" ht="15" hidden="false" customHeight="false" outlineLevel="0" collapsed="false">
      <c r="A672" s="11"/>
      <c r="B672" s="6"/>
      <c r="C672" s="11"/>
      <c r="D672" s="11"/>
      <c r="E672" s="8" t="str">
        <f aca="false">IF($A672="","",IF($B672&lt;PlanDate,"Late",""))</f>
        <v/>
      </c>
    </row>
    <row r="673" customFormat="false" ht="15" hidden="false" customHeight="false" outlineLevel="0" collapsed="false">
      <c r="A673" s="11"/>
      <c r="B673" s="6"/>
      <c r="C673" s="11"/>
      <c r="D673" s="11"/>
      <c r="E673" s="8" t="str">
        <f aca="false">IF($A673="","",IF($B673&lt;PlanDate,"Late",""))</f>
        <v/>
      </c>
    </row>
    <row r="674" customFormat="false" ht="15" hidden="false" customHeight="false" outlineLevel="0" collapsed="false">
      <c r="A674" s="11"/>
      <c r="B674" s="6"/>
      <c r="C674" s="11"/>
      <c r="D674" s="11"/>
      <c r="E674" s="8" t="str">
        <f aca="false">IF($A674="","",IF($B674&lt;PlanDate,"Late",""))</f>
        <v/>
      </c>
    </row>
    <row r="675" customFormat="false" ht="15" hidden="false" customHeight="false" outlineLevel="0" collapsed="false">
      <c r="A675" s="11"/>
      <c r="B675" s="6"/>
      <c r="C675" s="11"/>
      <c r="D675" s="11"/>
      <c r="E675" s="8" t="str">
        <f aca="false">IF($A675="","",IF($B675&lt;PlanDate,"Late",""))</f>
        <v/>
      </c>
    </row>
    <row r="676" customFormat="false" ht="15" hidden="false" customHeight="false" outlineLevel="0" collapsed="false">
      <c r="A676" s="11"/>
      <c r="B676" s="6"/>
      <c r="C676" s="11"/>
      <c r="D676" s="11"/>
      <c r="E676" s="8" t="str">
        <f aca="false">IF($A676="","",IF($B676&lt;PlanDate,"Late",""))</f>
        <v/>
      </c>
    </row>
    <row r="677" customFormat="false" ht="15" hidden="false" customHeight="false" outlineLevel="0" collapsed="false">
      <c r="A677" s="11"/>
      <c r="B677" s="6"/>
      <c r="C677" s="11"/>
      <c r="D677" s="11"/>
      <c r="E677" s="8" t="str">
        <f aca="false">IF($A677="","",IF($B677&lt;PlanDate,"Late",""))</f>
        <v/>
      </c>
    </row>
    <row r="678" customFormat="false" ht="15" hidden="false" customHeight="false" outlineLevel="0" collapsed="false">
      <c r="A678" s="11"/>
      <c r="B678" s="6"/>
      <c r="C678" s="11"/>
      <c r="D678" s="11"/>
      <c r="E678" s="8" t="str">
        <f aca="false">IF($A678="","",IF($B678&lt;PlanDate,"Late",""))</f>
        <v/>
      </c>
    </row>
    <row r="679" customFormat="false" ht="15" hidden="false" customHeight="false" outlineLevel="0" collapsed="false">
      <c r="A679" s="11"/>
      <c r="B679" s="6"/>
      <c r="C679" s="11"/>
      <c r="D679" s="11"/>
      <c r="E679" s="8" t="str">
        <f aca="false">IF($A679="","",IF($B679&lt;PlanDate,"Late",""))</f>
        <v/>
      </c>
    </row>
    <row r="680" customFormat="false" ht="15" hidden="false" customHeight="false" outlineLevel="0" collapsed="false">
      <c r="A680" s="11"/>
      <c r="B680" s="6"/>
      <c r="C680" s="11"/>
      <c r="D680" s="11"/>
      <c r="E680" s="8" t="str">
        <f aca="false">IF($A680="","",IF($B680&lt;PlanDate,"Late",""))</f>
        <v/>
      </c>
    </row>
    <row r="681" customFormat="false" ht="15" hidden="false" customHeight="false" outlineLevel="0" collapsed="false">
      <c r="A681" s="11"/>
      <c r="B681" s="6"/>
      <c r="C681" s="11"/>
      <c r="D681" s="11"/>
      <c r="E681" s="8" t="str">
        <f aca="false">IF($A681="","",IF($B681&lt;PlanDate,"Late",""))</f>
        <v/>
      </c>
    </row>
    <row r="682" customFormat="false" ht="15" hidden="false" customHeight="false" outlineLevel="0" collapsed="false">
      <c r="A682" s="11"/>
      <c r="B682" s="6"/>
      <c r="C682" s="11"/>
      <c r="D682" s="11"/>
      <c r="E682" s="8" t="str">
        <f aca="false">IF($A682="","",IF($B682&lt;PlanDate,"Late",""))</f>
        <v/>
      </c>
    </row>
    <row r="683" customFormat="false" ht="15" hidden="false" customHeight="false" outlineLevel="0" collapsed="false">
      <c r="A683" s="11"/>
      <c r="B683" s="6"/>
      <c r="C683" s="11"/>
      <c r="D683" s="11"/>
      <c r="E683" s="8" t="str">
        <f aca="false">IF($A683="","",IF($B683&lt;PlanDate,"Late",""))</f>
        <v/>
      </c>
    </row>
    <row r="684" customFormat="false" ht="15" hidden="false" customHeight="false" outlineLevel="0" collapsed="false">
      <c r="A684" s="11"/>
      <c r="B684" s="6"/>
      <c r="C684" s="11"/>
      <c r="D684" s="11"/>
      <c r="E684" s="8" t="str">
        <f aca="false">IF($A684="","",IF($B684&lt;PlanDate,"Late",""))</f>
        <v/>
      </c>
    </row>
    <row r="685" customFormat="false" ht="15" hidden="false" customHeight="false" outlineLevel="0" collapsed="false">
      <c r="A685" s="11"/>
      <c r="B685" s="6"/>
      <c r="C685" s="11"/>
      <c r="D685" s="11"/>
      <c r="E685" s="8" t="str">
        <f aca="false">IF($A685="","",IF($B685&lt;PlanDate,"Late",""))</f>
        <v/>
      </c>
    </row>
    <row r="686" customFormat="false" ht="15" hidden="false" customHeight="false" outlineLevel="0" collapsed="false">
      <c r="A686" s="11"/>
      <c r="B686" s="6"/>
      <c r="C686" s="11"/>
      <c r="D686" s="11"/>
      <c r="E686" s="8" t="str">
        <f aca="false">IF($A686="","",IF($B686&lt;PlanDate,"Late",""))</f>
        <v/>
      </c>
    </row>
    <row r="687" customFormat="false" ht="15" hidden="false" customHeight="false" outlineLevel="0" collapsed="false">
      <c r="A687" s="11"/>
      <c r="B687" s="6"/>
      <c r="C687" s="11"/>
      <c r="D687" s="11"/>
      <c r="E687" s="8" t="str">
        <f aca="false">IF($A687="","",IF($B687&lt;PlanDate,"Late",""))</f>
        <v/>
      </c>
    </row>
    <row r="688" customFormat="false" ht="15" hidden="false" customHeight="false" outlineLevel="0" collapsed="false">
      <c r="A688" s="11"/>
      <c r="B688" s="6"/>
      <c r="C688" s="11"/>
      <c r="D688" s="11"/>
      <c r="E688" s="8" t="str">
        <f aca="false">IF($A688="","",IF($B688&lt;PlanDate,"Late",""))</f>
        <v/>
      </c>
    </row>
    <row r="689" customFormat="false" ht="15" hidden="false" customHeight="false" outlineLevel="0" collapsed="false">
      <c r="A689" s="11"/>
      <c r="B689" s="6"/>
      <c r="C689" s="11"/>
      <c r="D689" s="11"/>
      <c r="E689" s="8" t="str">
        <f aca="false">IF($A689="","",IF($B689&lt;PlanDate,"Late",""))</f>
        <v/>
      </c>
    </row>
    <row r="690" customFormat="false" ht="15" hidden="false" customHeight="false" outlineLevel="0" collapsed="false">
      <c r="A690" s="11"/>
      <c r="B690" s="6"/>
      <c r="C690" s="11"/>
      <c r="D690" s="11"/>
      <c r="E690" s="8" t="str">
        <f aca="false">IF($A690="","",IF($B690&lt;PlanDate,"Late",""))</f>
        <v/>
      </c>
    </row>
    <row r="691" customFormat="false" ht="15" hidden="false" customHeight="false" outlineLevel="0" collapsed="false">
      <c r="A691" s="11"/>
      <c r="B691" s="6"/>
      <c r="C691" s="11"/>
      <c r="D691" s="11"/>
      <c r="E691" s="8" t="str">
        <f aca="false">IF($A691="","",IF($B691&lt;PlanDate,"Late",""))</f>
        <v/>
      </c>
    </row>
    <row r="692" customFormat="false" ht="15" hidden="false" customHeight="false" outlineLevel="0" collapsed="false">
      <c r="A692" s="11"/>
      <c r="B692" s="6"/>
      <c r="C692" s="11"/>
      <c r="D692" s="11"/>
      <c r="E692" s="8" t="str">
        <f aca="false">IF($A692="","",IF($B692&lt;PlanDate,"Late",""))</f>
        <v/>
      </c>
    </row>
    <row r="693" customFormat="false" ht="15" hidden="false" customHeight="false" outlineLevel="0" collapsed="false">
      <c r="A693" s="11"/>
      <c r="B693" s="6"/>
      <c r="C693" s="11"/>
      <c r="D693" s="11"/>
      <c r="E693" s="8" t="str">
        <f aca="false">IF($A693="","",IF($B693&lt;PlanDate,"Late",""))</f>
        <v/>
      </c>
    </row>
    <row r="694" customFormat="false" ht="15" hidden="false" customHeight="false" outlineLevel="0" collapsed="false">
      <c r="A694" s="11"/>
      <c r="B694" s="6"/>
      <c r="C694" s="11"/>
      <c r="D694" s="11"/>
      <c r="E694" s="8" t="str">
        <f aca="false">IF($A694="","",IF($B694&lt;PlanDate,"Late",""))</f>
        <v/>
      </c>
    </row>
    <row r="695" customFormat="false" ht="15" hidden="false" customHeight="false" outlineLevel="0" collapsed="false">
      <c r="A695" s="11"/>
      <c r="B695" s="6"/>
      <c r="C695" s="11"/>
      <c r="D695" s="11"/>
      <c r="E695" s="8" t="str">
        <f aca="false">IF($A695="","",IF($B695&lt;PlanDate,"Late",""))</f>
        <v/>
      </c>
    </row>
    <row r="696" customFormat="false" ht="15" hidden="false" customHeight="false" outlineLevel="0" collapsed="false">
      <c r="A696" s="11"/>
      <c r="B696" s="6"/>
      <c r="C696" s="11"/>
      <c r="D696" s="11"/>
      <c r="E696" s="8" t="str">
        <f aca="false">IF($A696="","",IF($B696&lt;PlanDate,"Late",""))</f>
        <v/>
      </c>
    </row>
    <row r="697" customFormat="false" ht="15" hidden="false" customHeight="false" outlineLevel="0" collapsed="false">
      <c r="A697" s="11"/>
      <c r="B697" s="6"/>
      <c r="C697" s="11"/>
      <c r="D697" s="11"/>
      <c r="E697" s="8" t="str">
        <f aca="false">IF($A697="","",IF($B697&lt;PlanDate,"Late",""))</f>
        <v/>
      </c>
    </row>
    <row r="698" customFormat="false" ht="15" hidden="false" customHeight="false" outlineLevel="0" collapsed="false">
      <c r="A698" s="11"/>
      <c r="B698" s="6"/>
      <c r="C698" s="11"/>
      <c r="D698" s="11"/>
      <c r="E698" s="8" t="str">
        <f aca="false">IF($A698="","",IF($B698&lt;PlanDate,"Late",""))</f>
        <v/>
      </c>
    </row>
    <row r="699" customFormat="false" ht="15" hidden="false" customHeight="false" outlineLevel="0" collapsed="false">
      <c r="A699" s="11"/>
      <c r="B699" s="6"/>
      <c r="C699" s="11"/>
      <c r="D699" s="11"/>
      <c r="E699" s="8" t="str">
        <f aca="false">IF($A699="","",IF($B699&lt;PlanDate,"Late",""))</f>
        <v/>
      </c>
    </row>
    <row r="700" customFormat="false" ht="15" hidden="false" customHeight="false" outlineLevel="0" collapsed="false">
      <c r="A700" s="11"/>
      <c r="B700" s="6"/>
      <c r="C700" s="11"/>
      <c r="D700" s="11"/>
      <c r="E700" s="8" t="str">
        <f aca="false">IF($A700="","",IF($B700&lt;PlanDate,"Late",""))</f>
        <v/>
      </c>
    </row>
    <row r="701" customFormat="false" ht="15" hidden="false" customHeight="false" outlineLevel="0" collapsed="false">
      <c r="A701" s="11"/>
      <c r="B701" s="6"/>
      <c r="C701" s="11"/>
      <c r="D701" s="11"/>
      <c r="E701" s="8" t="str">
        <f aca="false">IF($A701="","",IF($B701&lt;PlanDate,"Late",""))</f>
        <v/>
      </c>
    </row>
    <row r="702" customFormat="false" ht="15" hidden="false" customHeight="false" outlineLevel="0" collapsed="false">
      <c r="A702" s="11"/>
      <c r="B702" s="6"/>
      <c r="C702" s="11"/>
      <c r="D702" s="11"/>
      <c r="E702" s="8" t="str">
        <f aca="false">IF($A702="","",IF($B702&lt;PlanDate,"Late",""))</f>
        <v/>
      </c>
    </row>
    <row r="703" customFormat="false" ht="15" hidden="false" customHeight="false" outlineLevel="0" collapsed="false">
      <c r="A703" s="11"/>
      <c r="B703" s="6"/>
      <c r="C703" s="11"/>
      <c r="D703" s="11"/>
      <c r="E703" s="8" t="str">
        <f aca="false">IF($A703="","",IF($B703&lt;PlanDate,"Late",""))</f>
        <v/>
      </c>
    </row>
    <row r="704" customFormat="false" ht="15" hidden="false" customHeight="false" outlineLevel="0" collapsed="false">
      <c r="A704" s="11"/>
      <c r="B704" s="6"/>
      <c r="C704" s="11"/>
      <c r="D704" s="11"/>
      <c r="E704" s="8" t="str">
        <f aca="false">IF($A704="","",IF($B704&lt;PlanDate,"Late",""))</f>
        <v/>
      </c>
    </row>
    <row r="705" customFormat="false" ht="15" hidden="false" customHeight="false" outlineLevel="0" collapsed="false">
      <c r="A705" s="11"/>
      <c r="B705" s="6"/>
      <c r="C705" s="11"/>
      <c r="D705" s="11"/>
      <c r="E705" s="8" t="str">
        <f aca="false">IF($A705="","",IF($B705&lt;PlanDate,"Late",""))</f>
        <v/>
      </c>
    </row>
    <row r="706" customFormat="false" ht="15" hidden="false" customHeight="false" outlineLevel="0" collapsed="false">
      <c r="A706" s="11"/>
      <c r="B706" s="6"/>
      <c r="C706" s="11"/>
      <c r="D706" s="11"/>
      <c r="E706" s="8" t="str">
        <f aca="false">IF($A706="","",IF($B706&lt;PlanDate,"Late",""))</f>
        <v/>
      </c>
    </row>
    <row r="707" customFormat="false" ht="15" hidden="false" customHeight="false" outlineLevel="0" collapsed="false">
      <c r="A707" s="11"/>
      <c r="B707" s="6"/>
      <c r="C707" s="11"/>
      <c r="D707" s="11"/>
      <c r="E707" s="8" t="str">
        <f aca="false">IF($A707="","",IF($B707&lt;PlanDate,"Late",""))</f>
        <v/>
      </c>
    </row>
    <row r="708" customFormat="false" ht="15" hidden="false" customHeight="false" outlineLevel="0" collapsed="false">
      <c r="A708" s="11"/>
      <c r="B708" s="6"/>
      <c r="C708" s="11"/>
      <c r="D708" s="11"/>
      <c r="E708" s="8" t="str">
        <f aca="false">IF($A708="","",IF($B708&lt;PlanDate,"Late",""))</f>
        <v/>
      </c>
    </row>
    <row r="709" customFormat="false" ht="15" hidden="false" customHeight="false" outlineLevel="0" collapsed="false">
      <c r="A709" s="11"/>
      <c r="B709" s="6"/>
      <c r="C709" s="11"/>
      <c r="D709" s="11"/>
      <c r="E709" s="8" t="str">
        <f aca="false">IF($A709="","",IF($B709&lt;PlanDate,"Late",""))</f>
        <v/>
      </c>
    </row>
    <row r="710" customFormat="false" ht="15" hidden="false" customHeight="false" outlineLevel="0" collapsed="false">
      <c r="A710" s="11"/>
      <c r="B710" s="6"/>
      <c r="C710" s="11"/>
      <c r="D710" s="11"/>
      <c r="E710" s="8" t="str">
        <f aca="false">IF($A710="","",IF($B710&lt;PlanDate,"Late",""))</f>
        <v/>
      </c>
    </row>
    <row r="711" customFormat="false" ht="15" hidden="false" customHeight="false" outlineLevel="0" collapsed="false">
      <c r="A711" s="11"/>
      <c r="B711" s="6"/>
      <c r="C711" s="11"/>
      <c r="D711" s="11"/>
      <c r="E711" s="8" t="str">
        <f aca="false">IF($A711="","",IF($B711&lt;PlanDate,"Late",""))</f>
        <v/>
      </c>
    </row>
    <row r="712" customFormat="false" ht="15" hidden="false" customHeight="false" outlineLevel="0" collapsed="false">
      <c r="A712" s="11"/>
      <c r="B712" s="6"/>
      <c r="C712" s="11"/>
      <c r="D712" s="11"/>
      <c r="E712" s="8" t="str">
        <f aca="false">IF($A712="","",IF($B712&lt;PlanDate,"Late",""))</f>
        <v/>
      </c>
    </row>
    <row r="713" customFormat="false" ht="15" hidden="false" customHeight="false" outlineLevel="0" collapsed="false">
      <c r="A713" s="11"/>
      <c r="B713" s="6"/>
      <c r="C713" s="11"/>
      <c r="D713" s="11"/>
      <c r="E713" s="8" t="str">
        <f aca="false">IF($A713="","",IF($B713&lt;PlanDate,"Late",""))</f>
        <v/>
      </c>
    </row>
    <row r="714" customFormat="false" ht="15" hidden="false" customHeight="false" outlineLevel="0" collapsed="false">
      <c r="A714" s="11"/>
      <c r="B714" s="6"/>
      <c r="C714" s="11"/>
      <c r="D714" s="11"/>
      <c r="E714" s="8" t="str">
        <f aca="false">IF($A714="","",IF($B714&lt;PlanDate,"Late",""))</f>
        <v/>
      </c>
    </row>
    <row r="715" customFormat="false" ht="15" hidden="false" customHeight="false" outlineLevel="0" collapsed="false">
      <c r="A715" s="11"/>
      <c r="B715" s="6"/>
      <c r="C715" s="11"/>
      <c r="D715" s="11"/>
      <c r="E715" s="8" t="str">
        <f aca="false">IF($A715="","",IF($B715&lt;PlanDate,"Late",""))</f>
        <v/>
      </c>
    </row>
    <row r="716" customFormat="false" ht="15" hidden="false" customHeight="false" outlineLevel="0" collapsed="false">
      <c r="A716" s="11"/>
      <c r="B716" s="6"/>
      <c r="C716" s="11"/>
      <c r="D716" s="11"/>
      <c r="E716" s="8" t="str">
        <f aca="false">IF($A716="","",IF($B716&lt;PlanDate,"Late",""))</f>
        <v/>
      </c>
    </row>
    <row r="717" customFormat="false" ht="15" hidden="false" customHeight="false" outlineLevel="0" collapsed="false">
      <c r="A717" s="11"/>
      <c r="B717" s="6"/>
      <c r="C717" s="11"/>
      <c r="D717" s="11"/>
      <c r="E717" s="8" t="str">
        <f aca="false">IF($A717="","",IF($B717&lt;PlanDate,"Late",""))</f>
        <v/>
      </c>
    </row>
    <row r="718" customFormat="false" ht="15" hidden="false" customHeight="false" outlineLevel="0" collapsed="false">
      <c r="A718" s="11"/>
      <c r="B718" s="6"/>
      <c r="C718" s="11"/>
      <c r="D718" s="11"/>
      <c r="E718" s="8" t="str">
        <f aca="false">IF($A718="","",IF($B718&lt;PlanDate,"Late",""))</f>
        <v/>
      </c>
    </row>
    <row r="719" customFormat="false" ht="15" hidden="false" customHeight="false" outlineLevel="0" collapsed="false">
      <c r="A719" s="11"/>
      <c r="B719" s="6"/>
      <c r="C719" s="11"/>
      <c r="D719" s="11"/>
      <c r="E719" s="8" t="str">
        <f aca="false">IF($A719="","",IF($B719&lt;PlanDate,"Late",""))</f>
        <v/>
      </c>
    </row>
    <row r="720" customFormat="false" ht="15" hidden="false" customHeight="false" outlineLevel="0" collapsed="false">
      <c r="A720" s="11"/>
      <c r="B720" s="6"/>
      <c r="C720" s="11"/>
      <c r="D720" s="11"/>
      <c r="E720" s="8" t="str">
        <f aca="false">IF($A720="","",IF($B720&lt;PlanDate,"Late",""))</f>
        <v/>
      </c>
    </row>
    <row r="721" customFormat="false" ht="15" hidden="false" customHeight="false" outlineLevel="0" collapsed="false">
      <c r="A721" s="11"/>
      <c r="B721" s="6"/>
      <c r="C721" s="11"/>
      <c r="D721" s="11"/>
      <c r="E721" s="8" t="str">
        <f aca="false">IF($A721="","",IF($B721&lt;PlanDate,"Late",""))</f>
        <v/>
      </c>
    </row>
    <row r="722" customFormat="false" ht="15" hidden="false" customHeight="false" outlineLevel="0" collapsed="false">
      <c r="A722" s="11"/>
      <c r="B722" s="6"/>
      <c r="C722" s="11"/>
      <c r="D722" s="11"/>
      <c r="E722" s="8" t="str">
        <f aca="false">IF($A722="","",IF($B722&lt;PlanDate,"Late",""))</f>
        <v/>
      </c>
    </row>
    <row r="723" customFormat="false" ht="15" hidden="false" customHeight="false" outlineLevel="0" collapsed="false">
      <c r="A723" s="11"/>
      <c r="B723" s="6"/>
      <c r="C723" s="11"/>
      <c r="D723" s="11"/>
      <c r="E723" s="8" t="str">
        <f aca="false">IF($A723="","",IF($B723&lt;PlanDate,"Late",""))</f>
        <v/>
      </c>
    </row>
    <row r="724" customFormat="false" ht="15" hidden="false" customHeight="false" outlineLevel="0" collapsed="false">
      <c r="A724" s="11"/>
      <c r="B724" s="6"/>
      <c r="C724" s="11"/>
      <c r="D724" s="11"/>
      <c r="E724" s="8" t="str">
        <f aca="false">IF($A724="","",IF($B724&lt;PlanDate,"Late",""))</f>
        <v/>
      </c>
    </row>
    <row r="725" customFormat="false" ht="15" hidden="false" customHeight="false" outlineLevel="0" collapsed="false">
      <c r="A725" s="11"/>
      <c r="B725" s="6"/>
      <c r="C725" s="11"/>
      <c r="D725" s="11"/>
      <c r="E725" s="8" t="str">
        <f aca="false">IF($A725="","",IF($B725&lt;PlanDate,"Late",""))</f>
        <v/>
      </c>
    </row>
    <row r="726" customFormat="false" ht="15" hidden="false" customHeight="false" outlineLevel="0" collapsed="false">
      <c r="A726" s="11"/>
      <c r="B726" s="6"/>
      <c r="C726" s="11"/>
      <c r="D726" s="11"/>
      <c r="E726" s="8" t="str">
        <f aca="false">IF($A726="","",IF($B726&lt;PlanDate,"Late",""))</f>
        <v/>
      </c>
    </row>
    <row r="727" customFormat="false" ht="15" hidden="false" customHeight="false" outlineLevel="0" collapsed="false">
      <c r="A727" s="11"/>
      <c r="B727" s="6"/>
      <c r="C727" s="11"/>
      <c r="D727" s="11"/>
      <c r="E727" s="8" t="str">
        <f aca="false">IF($A727="","",IF($B727&lt;PlanDate,"Late",""))</f>
        <v/>
      </c>
    </row>
    <row r="728" customFormat="false" ht="15" hidden="false" customHeight="false" outlineLevel="0" collapsed="false">
      <c r="A728" s="11"/>
      <c r="B728" s="6"/>
      <c r="C728" s="11"/>
      <c r="D728" s="11"/>
      <c r="E728" s="8" t="str">
        <f aca="false">IF($A728="","",IF($B728&lt;PlanDate,"Late",""))</f>
        <v/>
      </c>
    </row>
    <row r="729" customFormat="false" ht="15" hidden="false" customHeight="false" outlineLevel="0" collapsed="false">
      <c r="A729" s="11"/>
      <c r="B729" s="6"/>
      <c r="C729" s="11"/>
      <c r="D729" s="11"/>
      <c r="E729" s="8" t="str">
        <f aca="false">IF($A729="","",IF($B729&lt;PlanDate,"Late",""))</f>
        <v/>
      </c>
    </row>
    <row r="730" customFormat="false" ht="15" hidden="false" customHeight="false" outlineLevel="0" collapsed="false">
      <c r="A730" s="11"/>
      <c r="B730" s="6"/>
      <c r="C730" s="11"/>
      <c r="D730" s="11"/>
      <c r="E730" s="8" t="str">
        <f aca="false">IF($A730="","",IF($B730&lt;PlanDate,"Late",""))</f>
        <v/>
      </c>
    </row>
    <row r="731" customFormat="false" ht="15" hidden="false" customHeight="false" outlineLevel="0" collapsed="false">
      <c r="A731" s="11"/>
      <c r="B731" s="6"/>
      <c r="C731" s="11"/>
      <c r="D731" s="11"/>
      <c r="E731" s="8" t="str">
        <f aca="false">IF($A731="","",IF($B731&lt;PlanDate,"Late",""))</f>
        <v/>
      </c>
    </row>
    <row r="732" customFormat="false" ht="15" hidden="false" customHeight="false" outlineLevel="0" collapsed="false">
      <c r="A732" s="11"/>
      <c r="B732" s="6"/>
      <c r="C732" s="11"/>
      <c r="D732" s="11"/>
      <c r="E732" s="8" t="str">
        <f aca="false">IF($A732="","",IF($B732&lt;PlanDate,"Late",""))</f>
        <v/>
      </c>
    </row>
    <row r="733" customFormat="false" ht="15" hidden="false" customHeight="false" outlineLevel="0" collapsed="false">
      <c r="A733" s="11"/>
      <c r="B733" s="6"/>
      <c r="C733" s="11"/>
      <c r="D733" s="11"/>
      <c r="E733" s="8" t="str">
        <f aca="false">IF($A733="","",IF($B733&lt;PlanDate,"Late",""))</f>
        <v/>
      </c>
    </row>
    <row r="734" customFormat="false" ht="15" hidden="false" customHeight="false" outlineLevel="0" collapsed="false">
      <c r="A734" s="11"/>
      <c r="B734" s="6"/>
      <c r="C734" s="11"/>
      <c r="D734" s="11"/>
      <c r="E734" s="8" t="str">
        <f aca="false">IF($A734="","",IF($B734&lt;PlanDate,"Late",""))</f>
        <v/>
      </c>
    </row>
    <row r="735" customFormat="false" ht="15" hidden="false" customHeight="false" outlineLevel="0" collapsed="false">
      <c r="A735" s="11"/>
      <c r="B735" s="6"/>
      <c r="C735" s="11"/>
      <c r="D735" s="11"/>
      <c r="E735" s="8" t="str">
        <f aca="false">IF($A735="","",IF($B735&lt;PlanDate,"Late",""))</f>
        <v/>
      </c>
    </row>
    <row r="736" customFormat="false" ht="15" hidden="false" customHeight="false" outlineLevel="0" collapsed="false">
      <c r="A736" s="11"/>
      <c r="B736" s="6"/>
      <c r="C736" s="11"/>
      <c r="D736" s="11"/>
      <c r="E736" s="8" t="str">
        <f aca="false">IF($A736="","",IF($B736&lt;PlanDate,"Late",""))</f>
        <v/>
      </c>
    </row>
    <row r="737" customFormat="false" ht="15" hidden="false" customHeight="false" outlineLevel="0" collapsed="false">
      <c r="A737" s="11"/>
      <c r="B737" s="6"/>
      <c r="C737" s="11"/>
      <c r="D737" s="11"/>
      <c r="E737" s="8" t="str">
        <f aca="false">IF($A737="","",IF($B737&lt;PlanDate,"Late",""))</f>
        <v/>
      </c>
    </row>
    <row r="738" customFormat="false" ht="15" hidden="false" customHeight="false" outlineLevel="0" collapsed="false">
      <c r="A738" s="11"/>
      <c r="B738" s="6"/>
      <c r="C738" s="11"/>
      <c r="D738" s="11"/>
      <c r="E738" s="8" t="str">
        <f aca="false">IF($A738="","",IF($B738&lt;PlanDate,"Late",""))</f>
        <v/>
      </c>
    </row>
    <row r="739" customFormat="false" ht="15" hidden="false" customHeight="false" outlineLevel="0" collapsed="false">
      <c r="A739" s="11"/>
      <c r="B739" s="6"/>
      <c r="C739" s="11"/>
      <c r="D739" s="11"/>
      <c r="E739" s="8" t="str">
        <f aca="false">IF($A739="","",IF($B739&lt;PlanDate,"Late",""))</f>
        <v/>
      </c>
    </row>
    <row r="740" customFormat="false" ht="15" hidden="false" customHeight="false" outlineLevel="0" collapsed="false">
      <c r="A740" s="11"/>
      <c r="B740" s="6"/>
      <c r="C740" s="11"/>
      <c r="D740" s="11"/>
      <c r="E740" s="8" t="str">
        <f aca="false">IF($A740="","",IF($B740&lt;PlanDate,"Late",""))</f>
        <v/>
      </c>
    </row>
    <row r="741" customFormat="false" ht="15" hidden="false" customHeight="false" outlineLevel="0" collapsed="false">
      <c r="A741" s="11"/>
      <c r="B741" s="6"/>
      <c r="C741" s="11"/>
      <c r="D741" s="11"/>
      <c r="E741" s="8" t="str">
        <f aca="false">IF($A741="","",IF($B741&lt;PlanDate,"Late",""))</f>
        <v/>
      </c>
    </row>
    <row r="742" customFormat="false" ht="15" hidden="false" customHeight="false" outlineLevel="0" collapsed="false">
      <c r="A742" s="11"/>
      <c r="B742" s="6"/>
      <c r="C742" s="11"/>
      <c r="D742" s="11"/>
      <c r="E742" s="8" t="str">
        <f aca="false">IF($A742="","",IF($B742&lt;PlanDate,"Late",""))</f>
        <v/>
      </c>
    </row>
    <row r="743" customFormat="false" ht="15" hidden="false" customHeight="false" outlineLevel="0" collapsed="false">
      <c r="A743" s="11"/>
      <c r="B743" s="6"/>
      <c r="C743" s="11"/>
      <c r="D743" s="11"/>
      <c r="E743" s="8" t="str">
        <f aca="false">IF($A743="","",IF($B743&lt;PlanDate,"Late",""))</f>
        <v/>
      </c>
    </row>
    <row r="744" customFormat="false" ht="15" hidden="false" customHeight="false" outlineLevel="0" collapsed="false">
      <c r="A744" s="11"/>
      <c r="B744" s="6"/>
      <c r="C744" s="11"/>
      <c r="D744" s="11"/>
      <c r="E744" s="8" t="str">
        <f aca="false">IF($A744="","",IF($B744&lt;PlanDate,"Late",""))</f>
        <v/>
      </c>
    </row>
    <row r="745" customFormat="false" ht="15" hidden="false" customHeight="false" outlineLevel="0" collapsed="false">
      <c r="A745" s="11"/>
      <c r="B745" s="6"/>
      <c r="C745" s="11"/>
      <c r="D745" s="11"/>
      <c r="E745" s="8" t="str">
        <f aca="false">IF($A745="","",IF($B745&lt;PlanDate,"Late",""))</f>
        <v/>
      </c>
    </row>
    <row r="746" customFormat="false" ht="15" hidden="false" customHeight="false" outlineLevel="0" collapsed="false">
      <c r="A746" s="11"/>
      <c r="B746" s="6"/>
      <c r="C746" s="11"/>
      <c r="D746" s="11"/>
      <c r="E746" s="8" t="str">
        <f aca="false">IF($A746="","",IF($B746&lt;PlanDate,"Late",""))</f>
        <v/>
      </c>
    </row>
    <row r="747" customFormat="false" ht="15" hidden="false" customHeight="false" outlineLevel="0" collapsed="false">
      <c r="A747" s="11"/>
      <c r="B747" s="6"/>
      <c r="C747" s="11"/>
      <c r="D747" s="11"/>
      <c r="E747" s="8" t="str">
        <f aca="false">IF($A747="","",IF($B747&lt;PlanDate,"Late",""))</f>
        <v/>
      </c>
    </row>
    <row r="748" customFormat="false" ht="15" hidden="false" customHeight="false" outlineLevel="0" collapsed="false">
      <c r="A748" s="11"/>
      <c r="B748" s="6"/>
      <c r="C748" s="11"/>
      <c r="D748" s="11"/>
      <c r="E748" s="8" t="str">
        <f aca="false">IF($A748="","",IF($B748&lt;PlanDate,"Late",""))</f>
        <v/>
      </c>
    </row>
    <row r="749" customFormat="false" ht="15" hidden="false" customHeight="false" outlineLevel="0" collapsed="false">
      <c r="A749" s="11"/>
      <c r="B749" s="6"/>
      <c r="C749" s="11"/>
      <c r="D749" s="11"/>
      <c r="E749" s="8" t="str">
        <f aca="false">IF($A749="","",IF($B749&lt;PlanDate,"Late",""))</f>
        <v/>
      </c>
    </row>
    <row r="750" customFormat="false" ht="15" hidden="false" customHeight="false" outlineLevel="0" collapsed="false">
      <c r="A750" s="11"/>
      <c r="B750" s="6"/>
      <c r="C750" s="11"/>
      <c r="D750" s="11"/>
      <c r="E750" s="8" t="str">
        <f aca="false">IF($A750="","",IF($B750&lt;PlanDate,"Late",""))</f>
        <v/>
      </c>
    </row>
    <row r="751" customFormat="false" ht="15" hidden="false" customHeight="false" outlineLevel="0" collapsed="false">
      <c r="A751" s="11"/>
      <c r="B751" s="6"/>
      <c r="C751" s="11"/>
      <c r="D751" s="11"/>
      <c r="E751" s="8" t="str">
        <f aca="false">IF($A751="","",IF($B751&lt;PlanDate,"Late",""))</f>
        <v/>
      </c>
    </row>
    <row r="752" customFormat="false" ht="15" hidden="false" customHeight="false" outlineLevel="0" collapsed="false">
      <c r="A752" s="11"/>
      <c r="B752" s="6"/>
      <c r="C752" s="11"/>
      <c r="D752" s="11"/>
      <c r="E752" s="8" t="str">
        <f aca="false">IF($A752="","",IF($B752&lt;PlanDate,"Late",""))</f>
        <v/>
      </c>
    </row>
    <row r="753" customFormat="false" ht="15" hidden="false" customHeight="false" outlineLevel="0" collapsed="false">
      <c r="A753" s="11"/>
      <c r="B753" s="6"/>
      <c r="C753" s="11"/>
      <c r="D753" s="11"/>
      <c r="E753" s="8" t="str">
        <f aca="false">IF($A753="","",IF($B753&lt;PlanDate,"Late",""))</f>
        <v/>
      </c>
    </row>
    <row r="754" customFormat="false" ht="15" hidden="false" customHeight="false" outlineLevel="0" collapsed="false">
      <c r="A754" s="11"/>
      <c r="B754" s="6"/>
      <c r="C754" s="11"/>
      <c r="D754" s="11"/>
      <c r="E754" s="8" t="str">
        <f aca="false">IF($A754="","",IF($B754&lt;PlanDate,"Late",""))</f>
        <v/>
      </c>
    </row>
    <row r="755" customFormat="false" ht="15" hidden="false" customHeight="false" outlineLevel="0" collapsed="false">
      <c r="A755" s="11"/>
      <c r="B755" s="6"/>
      <c r="C755" s="11"/>
      <c r="D755" s="11"/>
      <c r="E755" s="8" t="str">
        <f aca="false">IF($A755="","",IF($B755&lt;PlanDate,"Late",""))</f>
        <v/>
      </c>
    </row>
    <row r="756" customFormat="false" ht="15" hidden="false" customHeight="false" outlineLevel="0" collapsed="false">
      <c r="A756" s="11"/>
      <c r="B756" s="6"/>
      <c r="C756" s="11"/>
      <c r="D756" s="11"/>
      <c r="E756" s="8" t="str">
        <f aca="false">IF($A756="","",IF($B756&lt;PlanDate,"Late",""))</f>
        <v/>
      </c>
    </row>
    <row r="757" customFormat="false" ht="15" hidden="false" customHeight="false" outlineLevel="0" collapsed="false">
      <c r="A757" s="11"/>
      <c r="B757" s="6"/>
      <c r="C757" s="11"/>
      <c r="D757" s="11"/>
      <c r="E757" s="8" t="str">
        <f aca="false">IF($A757="","",IF($B757&lt;PlanDate,"Late",""))</f>
        <v/>
      </c>
    </row>
    <row r="758" customFormat="false" ht="15" hidden="false" customHeight="false" outlineLevel="0" collapsed="false">
      <c r="A758" s="11"/>
      <c r="B758" s="6"/>
      <c r="C758" s="11"/>
      <c r="D758" s="11"/>
      <c r="E758" s="8" t="str">
        <f aca="false">IF($A758="","",IF($B758&lt;PlanDate,"Late",""))</f>
        <v/>
      </c>
    </row>
    <row r="759" customFormat="false" ht="15" hidden="false" customHeight="false" outlineLevel="0" collapsed="false">
      <c r="A759" s="11"/>
      <c r="B759" s="6"/>
      <c r="C759" s="11"/>
      <c r="D759" s="11"/>
      <c r="E759" s="8" t="str">
        <f aca="false">IF($A759="","",IF($B759&lt;PlanDate,"Late",""))</f>
        <v/>
      </c>
    </row>
    <row r="760" customFormat="false" ht="15" hidden="false" customHeight="false" outlineLevel="0" collapsed="false">
      <c r="A760" s="11"/>
      <c r="B760" s="6"/>
      <c r="C760" s="11"/>
      <c r="D760" s="11"/>
      <c r="E760" s="8" t="str">
        <f aca="false">IF($A760="","",IF($B760&lt;PlanDate,"Late",""))</f>
        <v/>
      </c>
    </row>
    <row r="761" customFormat="false" ht="15" hidden="false" customHeight="false" outlineLevel="0" collapsed="false">
      <c r="A761" s="11"/>
      <c r="B761" s="6"/>
      <c r="C761" s="11"/>
      <c r="D761" s="11"/>
      <c r="E761" s="8" t="str">
        <f aca="false">IF($A761="","",IF($B761&lt;PlanDate,"Late",""))</f>
        <v/>
      </c>
    </row>
    <row r="762" customFormat="false" ht="15" hidden="false" customHeight="false" outlineLevel="0" collapsed="false">
      <c r="A762" s="11"/>
      <c r="B762" s="6"/>
      <c r="C762" s="11"/>
      <c r="D762" s="11"/>
      <c r="E762" s="8" t="str">
        <f aca="false">IF($A762="","",IF($B762&lt;PlanDate,"Late",""))</f>
        <v/>
      </c>
    </row>
    <row r="763" customFormat="false" ht="15" hidden="false" customHeight="false" outlineLevel="0" collapsed="false">
      <c r="A763" s="11"/>
      <c r="B763" s="6"/>
      <c r="C763" s="11"/>
      <c r="D763" s="11"/>
      <c r="E763" s="8" t="str">
        <f aca="false">IF($A763="","",IF($B763&lt;PlanDate,"Late",""))</f>
        <v/>
      </c>
    </row>
    <row r="764" customFormat="false" ht="15" hidden="false" customHeight="false" outlineLevel="0" collapsed="false">
      <c r="A764" s="11"/>
      <c r="B764" s="6"/>
      <c r="C764" s="11"/>
      <c r="D764" s="11"/>
      <c r="E764" s="8" t="str">
        <f aca="false">IF($A764="","",IF($B764&lt;PlanDate,"Late",""))</f>
        <v/>
      </c>
    </row>
    <row r="765" customFormat="false" ht="15" hidden="false" customHeight="false" outlineLevel="0" collapsed="false">
      <c r="A765" s="11"/>
      <c r="B765" s="6"/>
      <c r="C765" s="11"/>
      <c r="D765" s="11"/>
      <c r="E765" s="8" t="str">
        <f aca="false">IF($A765="","",IF($B765&lt;PlanDate,"Late",""))</f>
        <v/>
      </c>
    </row>
    <row r="766" customFormat="false" ht="15" hidden="false" customHeight="false" outlineLevel="0" collapsed="false">
      <c r="A766" s="11"/>
      <c r="B766" s="6"/>
      <c r="C766" s="11"/>
      <c r="D766" s="11"/>
      <c r="E766" s="8" t="str">
        <f aca="false">IF($A766="","",IF($B766&lt;PlanDate,"Late",""))</f>
        <v/>
      </c>
    </row>
    <row r="767" customFormat="false" ht="15" hidden="false" customHeight="false" outlineLevel="0" collapsed="false">
      <c r="A767" s="11"/>
      <c r="B767" s="6"/>
      <c r="C767" s="11"/>
      <c r="D767" s="11"/>
      <c r="E767" s="8" t="str">
        <f aca="false">IF($A767="","",IF($B767&lt;PlanDate,"Late",""))</f>
        <v/>
      </c>
    </row>
    <row r="768" customFormat="false" ht="15" hidden="false" customHeight="false" outlineLevel="0" collapsed="false">
      <c r="A768" s="11"/>
      <c r="B768" s="6"/>
      <c r="C768" s="11"/>
      <c r="D768" s="11"/>
      <c r="E768" s="8" t="str">
        <f aca="false">IF($A768="","",IF($B768&lt;PlanDate,"Late",""))</f>
        <v/>
      </c>
    </row>
    <row r="769" customFormat="false" ht="15" hidden="false" customHeight="false" outlineLevel="0" collapsed="false">
      <c r="A769" s="11"/>
      <c r="B769" s="6"/>
      <c r="C769" s="11"/>
      <c r="D769" s="11"/>
      <c r="E769" s="8" t="str">
        <f aca="false">IF($A769="","",IF($B769&lt;PlanDate,"Late",""))</f>
        <v/>
      </c>
    </row>
    <row r="770" customFormat="false" ht="15" hidden="false" customHeight="false" outlineLevel="0" collapsed="false">
      <c r="A770" s="11"/>
      <c r="B770" s="6"/>
      <c r="C770" s="11"/>
      <c r="D770" s="11"/>
      <c r="E770" s="8" t="str">
        <f aca="false">IF($A770="","",IF($B770&lt;PlanDate,"Late",""))</f>
        <v/>
      </c>
    </row>
    <row r="771" customFormat="false" ht="15" hidden="false" customHeight="false" outlineLevel="0" collapsed="false">
      <c r="A771" s="11"/>
      <c r="B771" s="6"/>
      <c r="C771" s="11"/>
      <c r="D771" s="11"/>
      <c r="E771" s="8" t="str">
        <f aca="false">IF($A771="","",IF($B771&lt;PlanDate,"Late",""))</f>
        <v/>
      </c>
    </row>
    <row r="772" customFormat="false" ht="15" hidden="false" customHeight="false" outlineLevel="0" collapsed="false">
      <c r="A772" s="11"/>
      <c r="B772" s="6"/>
      <c r="C772" s="11"/>
      <c r="D772" s="11"/>
      <c r="E772" s="8" t="str">
        <f aca="false">IF($A772="","",IF($B772&lt;PlanDate,"Late",""))</f>
        <v/>
      </c>
    </row>
    <row r="773" customFormat="false" ht="15" hidden="false" customHeight="false" outlineLevel="0" collapsed="false">
      <c r="A773" s="11"/>
      <c r="B773" s="6"/>
      <c r="C773" s="11"/>
      <c r="D773" s="11"/>
      <c r="E773" s="8" t="str">
        <f aca="false">IF($A773="","",IF($B773&lt;PlanDate,"Late",""))</f>
        <v/>
      </c>
    </row>
    <row r="774" customFormat="false" ht="15" hidden="false" customHeight="false" outlineLevel="0" collapsed="false">
      <c r="A774" s="11"/>
      <c r="B774" s="6"/>
      <c r="C774" s="11"/>
      <c r="D774" s="11"/>
      <c r="E774" s="8" t="str">
        <f aca="false">IF($A774="","",IF($B774&lt;PlanDate,"Late",""))</f>
        <v/>
      </c>
    </row>
    <row r="775" customFormat="false" ht="15" hidden="false" customHeight="false" outlineLevel="0" collapsed="false">
      <c r="A775" s="11"/>
      <c r="B775" s="6"/>
      <c r="C775" s="11"/>
      <c r="D775" s="11"/>
      <c r="E775" s="8" t="str">
        <f aca="false">IF($A775="","",IF($B775&lt;PlanDate,"Late",""))</f>
        <v/>
      </c>
    </row>
    <row r="776" customFormat="false" ht="15" hidden="false" customHeight="false" outlineLevel="0" collapsed="false">
      <c r="A776" s="11"/>
      <c r="B776" s="6"/>
      <c r="C776" s="11"/>
      <c r="D776" s="11"/>
      <c r="E776" s="8" t="str">
        <f aca="false">IF($A776="","",IF($B776&lt;PlanDate,"Late",""))</f>
        <v/>
      </c>
    </row>
    <row r="777" customFormat="false" ht="15" hidden="false" customHeight="false" outlineLevel="0" collapsed="false">
      <c r="A777" s="11"/>
      <c r="B777" s="6"/>
      <c r="C777" s="11"/>
      <c r="D777" s="11"/>
      <c r="E777" s="8" t="str">
        <f aca="false">IF($A777="","",IF($B777&lt;PlanDate,"Late",""))</f>
        <v/>
      </c>
    </row>
    <row r="778" customFormat="false" ht="15" hidden="false" customHeight="false" outlineLevel="0" collapsed="false">
      <c r="A778" s="11"/>
      <c r="B778" s="6"/>
      <c r="C778" s="11"/>
      <c r="D778" s="11"/>
      <c r="E778" s="8" t="str">
        <f aca="false">IF($A778="","",IF($B778&lt;PlanDate,"Late",""))</f>
        <v/>
      </c>
    </row>
    <row r="779" customFormat="false" ht="15" hidden="false" customHeight="false" outlineLevel="0" collapsed="false">
      <c r="A779" s="11"/>
      <c r="B779" s="6"/>
      <c r="C779" s="11"/>
      <c r="D779" s="11"/>
      <c r="E779" s="8" t="str">
        <f aca="false">IF($A779="","",IF($B779&lt;PlanDate,"Late",""))</f>
        <v/>
      </c>
    </row>
    <row r="780" customFormat="false" ht="15" hidden="false" customHeight="false" outlineLevel="0" collapsed="false">
      <c r="A780" s="11"/>
      <c r="B780" s="6"/>
      <c r="C780" s="11"/>
      <c r="D780" s="11"/>
      <c r="E780" s="8" t="str">
        <f aca="false">IF($A780="","",IF($B780&lt;PlanDate,"Late",""))</f>
        <v/>
      </c>
    </row>
    <row r="781" customFormat="false" ht="15" hidden="false" customHeight="false" outlineLevel="0" collapsed="false">
      <c r="A781" s="11"/>
      <c r="B781" s="6"/>
      <c r="C781" s="11"/>
      <c r="D781" s="11"/>
      <c r="E781" s="8" t="str">
        <f aca="false">IF($A781="","",IF($B781&lt;PlanDate,"Late",""))</f>
        <v/>
      </c>
    </row>
    <row r="782" customFormat="false" ht="15" hidden="false" customHeight="false" outlineLevel="0" collapsed="false">
      <c r="A782" s="11"/>
      <c r="B782" s="6"/>
      <c r="C782" s="11"/>
      <c r="D782" s="11"/>
      <c r="E782" s="8" t="str">
        <f aca="false">IF($A782="","",IF($B782&lt;PlanDate,"Late",""))</f>
        <v/>
      </c>
    </row>
    <row r="783" customFormat="false" ht="15" hidden="false" customHeight="false" outlineLevel="0" collapsed="false">
      <c r="A783" s="11"/>
      <c r="B783" s="6"/>
      <c r="C783" s="11"/>
      <c r="D783" s="11"/>
      <c r="E783" s="8" t="str">
        <f aca="false">IF($A783="","",IF($B783&lt;PlanDate,"Late",""))</f>
        <v/>
      </c>
    </row>
    <row r="784" customFormat="false" ht="15" hidden="false" customHeight="false" outlineLevel="0" collapsed="false">
      <c r="A784" s="11"/>
      <c r="B784" s="6"/>
      <c r="C784" s="11"/>
      <c r="D784" s="11"/>
      <c r="E784" s="8" t="str">
        <f aca="false">IF($A784="","",IF($B784&lt;PlanDate,"Late",""))</f>
        <v/>
      </c>
    </row>
    <row r="785" customFormat="false" ht="15" hidden="false" customHeight="false" outlineLevel="0" collapsed="false">
      <c r="A785" s="11"/>
      <c r="B785" s="6"/>
      <c r="C785" s="11"/>
      <c r="D785" s="11"/>
      <c r="E785" s="8" t="str">
        <f aca="false">IF($A785="","",IF($B785&lt;PlanDate,"Late",""))</f>
        <v/>
      </c>
    </row>
    <row r="786" customFormat="false" ht="15" hidden="false" customHeight="false" outlineLevel="0" collapsed="false">
      <c r="A786" s="11"/>
      <c r="B786" s="6"/>
      <c r="C786" s="11"/>
      <c r="D786" s="11"/>
      <c r="E786" s="8" t="str">
        <f aca="false">IF($A786="","",IF($B786&lt;PlanDate,"Late",""))</f>
        <v/>
      </c>
    </row>
    <row r="787" customFormat="false" ht="15" hidden="false" customHeight="false" outlineLevel="0" collapsed="false">
      <c r="A787" s="11"/>
      <c r="B787" s="6"/>
      <c r="C787" s="11"/>
      <c r="D787" s="11"/>
      <c r="E787" s="8" t="str">
        <f aca="false">IF($A787="","",IF($B787&lt;PlanDate,"Late",""))</f>
        <v/>
      </c>
    </row>
    <row r="788" customFormat="false" ht="15" hidden="false" customHeight="false" outlineLevel="0" collapsed="false">
      <c r="A788" s="11"/>
      <c r="B788" s="6"/>
      <c r="C788" s="11"/>
      <c r="D788" s="11"/>
      <c r="E788" s="8" t="str">
        <f aca="false">IF($A788="","",IF($B788&lt;PlanDate,"Late",""))</f>
        <v/>
      </c>
    </row>
    <row r="789" customFormat="false" ht="15" hidden="false" customHeight="false" outlineLevel="0" collapsed="false">
      <c r="A789" s="11"/>
      <c r="B789" s="6"/>
      <c r="C789" s="11"/>
      <c r="D789" s="11"/>
      <c r="E789" s="8" t="str">
        <f aca="false">IF($A789="","",IF($B789&lt;PlanDate,"Late",""))</f>
        <v/>
      </c>
    </row>
    <row r="790" customFormat="false" ht="15" hidden="false" customHeight="false" outlineLevel="0" collapsed="false">
      <c r="A790" s="11"/>
      <c r="B790" s="6"/>
      <c r="C790" s="11"/>
      <c r="D790" s="11"/>
      <c r="E790" s="8" t="str">
        <f aca="false">IF($A790="","",IF($B790&lt;PlanDate,"Late",""))</f>
        <v/>
      </c>
    </row>
    <row r="791" customFormat="false" ht="15" hidden="false" customHeight="false" outlineLevel="0" collapsed="false">
      <c r="A791" s="11"/>
      <c r="B791" s="6"/>
      <c r="C791" s="11"/>
      <c r="D791" s="11"/>
      <c r="E791" s="8" t="str">
        <f aca="false">IF($A791="","",IF($B791&lt;PlanDate,"Late",""))</f>
        <v/>
      </c>
    </row>
    <row r="792" customFormat="false" ht="15" hidden="false" customHeight="false" outlineLevel="0" collapsed="false">
      <c r="A792" s="11"/>
      <c r="B792" s="6"/>
      <c r="C792" s="11"/>
      <c r="D792" s="11"/>
      <c r="E792" s="8" t="str">
        <f aca="false">IF($A792="","",IF($B792&lt;PlanDate,"Late",""))</f>
        <v/>
      </c>
    </row>
    <row r="793" customFormat="false" ht="15" hidden="false" customHeight="false" outlineLevel="0" collapsed="false">
      <c r="A793" s="11"/>
      <c r="B793" s="6"/>
      <c r="C793" s="11"/>
      <c r="D793" s="11"/>
      <c r="E793" s="8" t="str">
        <f aca="false">IF($A793="","",IF($B793&lt;PlanDate,"Late",""))</f>
        <v/>
      </c>
    </row>
    <row r="794" customFormat="false" ht="15" hidden="false" customHeight="false" outlineLevel="0" collapsed="false">
      <c r="A794" s="11"/>
      <c r="B794" s="6"/>
      <c r="C794" s="11"/>
      <c r="D794" s="11"/>
      <c r="E794" s="8" t="str">
        <f aca="false">IF($A794="","",IF($B794&lt;PlanDate,"Late",""))</f>
        <v/>
      </c>
    </row>
    <row r="795" customFormat="false" ht="15" hidden="false" customHeight="false" outlineLevel="0" collapsed="false">
      <c r="A795" s="11"/>
      <c r="B795" s="6"/>
      <c r="C795" s="11"/>
      <c r="D795" s="11"/>
      <c r="E795" s="8" t="str">
        <f aca="false">IF($A795="","",IF($B795&lt;PlanDate,"Late",""))</f>
        <v/>
      </c>
    </row>
    <row r="796" customFormat="false" ht="15" hidden="false" customHeight="false" outlineLevel="0" collapsed="false">
      <c r="A796" s="11"/>
      <c r="B796" s="6"/>
      <c r="C796" s="11"/>
      <c r="D796" s="11"/>
      <c r="E796" s="8" t="str">
        <f aca="false">IF($A796="","",IF($B796&lt;PlanDate,"Late",""))</f>
        <v/>
      </c>
    </row>
    <row r="797" customFormat="false" ht="15" hidden="false" customHeight="false" outlineLevel="0" collapsed="false">
      <c r="A797" s="11"/>
      <c r="B797" s="6"/>
      <c r="C797" s="11"/>
      <c r="D797" s="11"/>
      <c r="E797" s="8" t="str">
        <f aca="false">IF($A797="","",IF($B797&lt;PlanDate,"Late",""))</f>
        <v/>
      </c>
    </row>
    <row r="798" customFormat="false" ht="15" hidden="false" customHeight="false" outlineLevel="0" collapsed="false">
      <c r="A798" s="11"/>
      <c r="B798" s="6"/>
      <c r="C798" s="11"/>
      <c r="D798" s="11"/>
      <c r="E798" s="8" t="str">
        <f aca="false">IF($A798="","",IF($B798&lt;PlanDate,"Late",""))</f>
        <v/>
      </c>
    </row>
    <row r="799" customFormat="false" ht="15" hidden="false" customHeight="false" outlineLevel="0" collapsed="false">
      <c r="A799" s="11"/>
      <c r="B799" s="6"/>
      <c r="C799" s="11"/>
      <c r="D799" s="11"/>
      <c r="E799" s="8" t="str">
        <f aca="false">IF($A799="","",IF($B799&lt;PlanDate,"Late",""))</f>
        <v/>
      </c>
    </row>
    <row r="800" customFormat="false" ht="15" hidden="false" customHeight="false" outlineLevel="0" collapsed="false">
      <c r="A800" s="11"/>
      <c r="B800" s="6"/>
      <c r="C800" s="11"/>
      <c r="D800" s="11"/>
      <c r="E800" s="8" t="str">
        <f aca="false">IF($A800="","",IF($B800&lt;PlanDate,"Late",""))</f>
        <v/>
      </c>
    </row>
    <row r="801" customFormat="false" ht="15" hidden="false" customHeight="false" outlineLevel="0" collapsed="false">
      <c r="A801" s="11"/>
      <c r="B801" s="6"/>
      <c r="C801" s="11"/>
      <c r="D801" s="11"/>
      <c r="E801" s="8" t="str">
        <f aca="false">IF($A801="","",IF($B801&lt;PlanDate,"Late",""))</f>
        <v/>
      </c>
    </row>
    <row r="802" customFormat="false" ht="15" hidden="false" customHeight="false" outlineLevel="0" collapsed="false">
      <c r="A802" s="11"/>
      <c r="B802" s="6"/>
      <c r="C802" s="11"/>
      <c r="D802" s="11"/>
      <c r="E802" s="8" t="str">
        <f aca="false">IF($A802="","",IF($B802&lt;PlanDate,"Late",""))</f>
        <v/>
      </c>
    </row>
    <row r="803" customFormat="false" ht="15" hidden="false" customHeight="false" outlineLevel="0" collapsed="false">
      <c r="A803" s="11"/>
      <c r="B803" s="6"/>
      <c r="C803" s="11"/>
      <c r="D803" s="11"/>
      <c r="E803" s="8" t="str">
        <f aca="false">IF($A803="","",IF($B803&lt;PlanDate,"Late",""))</f>
        <v/>
      </c>
    </row>
    <row r="804" customFormat="false" ht="15" hidden="false" customHeight="false" outlineLevel="0" collapsed="false">
      <c r="A804" s="11"/>
      <c r="B804" s="6"/>
      <c r="C804" s="11"/>
      <c r="D804" s="11"/>
      <c r="E804" s="8" t="str">
        <f aca="false">IF($A804="","",IF($B804&lt;PlanDate,"Late",""))</f>
        <v/>
      </c>
    </row>
    <row r="805" customFormat="false" ht="15" hidden="false" customHeight="false" outlineLevel="0" collapsed="false">
      <c r="A805" s="11"/>
      <c r="B805" s="6"/>
      <c r="C805" s="11"/>
      <c r="D805" s="11"/>
      <c r="E805" s="8" t="str">
        <f aca="false">IF($A805="","",IF($B805&lt;PlanDate,"Late",""))</f>
        <v/>
      </c>
    </row>
    <row r="806" customFormat="false" ht="15" hidden="false" customHeight="false" outlineLevel="0" collapsed="false">
      <c r="A806" s="11"/>
      <c r="B806" s="6"/>
      <c r="C806" s="11"/>
      <c r="D806" s="11"/>
      <c r="E806" s="8" t="str">
        <f aca="false">IF($A806="","",IF($B806&lt;PlanDate,"Late",""))</f>
        <v/>
      </c>
    </row>
    <row r="807" customFormat="false" ht="15" hidden="false" customHeight="false" outlineLevel="0" collapsed="false">
      <c r="A807" s="11"/>
      <c r="B807" s="6"/>
      <c r="C807" s="11"/>
      <c r="D807" s="11"/>
      <c r="E807" s="8" t="str">
        <f aca="false">IF($A807="","",IF($B807&lt;PlanDate,"Late",""))</f>
        <v/>
      </c>
    </row>
    <row r="808" customFormat="false" ht="15" hidden="false" customHeight="false" outlineLevel="0" collapsed="false">
      <c r="A808" s="11"/>
      <c r="B808" s="6"/>
      <c r="C808" s="11"/>
      <c r="D808" s="11"/>
      <c r="E808" s="8" t="str">
        <f aca="false">IF($A808="","",IF($B808&lt;PlanDate,"Late",""))</f>
        <v/>
      </c>
    </row>
    <row r="809" customFormat="false" ht="15" hidden="false" customHeight="false" outlineLevel="0" collapsed="false">
      <c r="A809" s="11"/>
      <c r="B809" s="6"/>
      <c r="C809" s="11"/>
      <c r="D809" s="11"/>
      <c r="E809" s="8" t="str">
        <f aca="false">IF($A809="","",IF($B809&lt;PlanDate,"Late",""))</f>
        <v/>
      </c>
    </row>
    <row r="810" customFormat="false" ht="15" hidden="false" customHeight="false" outlineLevel="0" collapsed="false">
      <c r="A810" s="11"/>
      <c r="B810" s="6"/>
      <c r="C810" s="11"/>
      <c r="D810" s="11"/>
      <c r="E810" s="8" t="str">
        <f aca="false">IF($A810="","",IF($B810&lt;PlanDate,"Late",""))</f>
        <v/>
      </c>
    </row>
    <row r="811" customFormat="false" ht="15" hidden="false" customHeight="false" outlineLevel="0" collapsed="false">
      <c r="A811" s="11"/>
      <c r="B811" s="6"/>
      <c r="C811" s="11"/>
      <c r="D811" s="11"/>
      <c r="E811" s="8" t="str">
        <f aca="false">IF($A811="","",IF($B811&lt;PlanDate,"Late",""))</f>
        <v/>
      </c>
    </row>
    <row r="812" customFormat="false" ht="15" hidden="false" customHeight="false" outlineLevel="0" collapsed="false">
      <c r="A812" s="11"/>
      <c r="B812" s="6"/>
      <c r="C812" s="11"/>
      <c r="D812" s="11"/>
      <c r="E812" s="8" t="str">
        <f aca="false">IF($A812="","",IF($B812&lt;PlanDate,"Late",""))</f>
        <v/>
      </c>
    </row>
    <row r="813" customFormat="false" ht="15" hidden="false" customHeight="false" outlineLevel="0" collapsed="false">
      <c r="A813" s="11"/>
      <c r="B813" s="6"/>
      <c r="C813" s="11"/>
      <c r="D813" s="11"/>
      <c r="E813" s="8" t="str">
        <f aca="false">IF($A813="","",IF($B813&lt;PlanDate,"Late",""))</f>
        <v/>
      </c>
    </row>
    <row r="814" customFormat="false" ht="15" hidden="false" customHeight="false" outlineLevel="0" collapsed="false">
      <c r="A814" s="11"/>
      <c r="B814" s="6"/>
      <c r="C814" s="11"/>
      <c r="D814" s="11"/>
      <c r="E814" s="8" t="str">
        <f aca="false">IF($A814="","",IF($B814&lt;PlanDate,"Late",""))</f>
        <v/>
      </c>
    </row>
    <row r="815" customFormat="false" ht="15" hidden="false" customHeight="false" outlineLevel="0" collapsed="false">
      <c r="A815" s="11"/>
      <c r="B815" s="6"/>
      <c r="C815" s="11"/>
      <c r="D815" s="11"/>
      <c r="E815" s="8" t="str">
        <f aca="false">IF($A815="","",IF($B815&lt;PlanDate,"Late",""))</f>
        <v/>
      </c>
    </row>
    <row r="816" customFormat="false" ht="15" hidden="false" customHeight="false" outlineLevel="0" collapsed="false">
      <c r="A816" s="11"/>
      <c r="B816" s="6"/>
      <c r="C816" s="11"/>
      <c r="D816" s="11"/>
      <c r="E816" s="8" t="str">
        <f aca="false">IF($A816="","",IF($B816&lt;PlanDate,"Late",""))</f>
        <v/>
      </c>
    </row>
    <row r="817" customFormat="false" ht="15" hidden="false" customHeight="false" outlineLevel="0" collapsed="false">
      <c r="A817" s="11"/>
      <c r="B817" s="6"/>
      <c r="C817" s="11"/>
      <c r="D817" s="11"/>
      <c r="E817" s="8" t="str">
        <f aca="false">IF($A817="","",IF($B817&lt;PlanDate,"Late",""))</f>
        <v/>
      </c>
    </row>
    <row r="818" customFormat="false" ht="15" hidden="false" customHeight="false" outlineLevel="0" collapsed="false">
      <c r="A818" s="11"/>
      <c r="B818" s="6"/>
      <c r="C818" s="11"/>
      <c r="D818" s="11"/>
      <c r="E818" s="8" t="str">
        <f aca="false">IF($A818="","",IF($B818&lt;PlanDate,"Late",""))</f>
        <v/>
      </c>
    </row>
    <row r="819" customFormat="false" ht="15" hidden="false" customHeight="false" outlineLevel="0" collapsed="false">
      <c r="A819" s="11"/>
      <c r="B819" s="6"/>
      <c r="C819" s="11"/>
      <c r="D819" s="11"/>
      <c r="E819" s="8" t="str">
        <f aca="false">IF($A819="","",IF($B819&lt;PlanDate,"Late",""))</f>
        <v/>
      </c>
    </row>
    <row r="820" customFormat="false" ht="15" hidden="false" customHeight="false" outlineLevel="0" collapsed="false">
      <c r="A820" s="11"/>
      <c r="B820" s="6"/>
      <c r="C820" s="11"/>
      <c r="D820" s="11"/>
      <c r="E820" s="8" t="str">
        <f aca="false">IF($A820="","",IF($B820&lt;PlanDate,"Late",""))</f>
        <v/>
      </c>
    </row>
    <row r="821" customFormat="false" ht="15" hidden="false" customHeight="false" outlineLevel="0" collapsed="false">
      <c r="A821" s="11"/>
      <c r="B821" s="6"/>
      <c r="C821" s="11"/>
      <c r="D821" s="11"/>
      <c r="E821" s="8" t="str">
        <f aca="false">IF($A821="","",IF($B821&lt;PlanDate,"Late",""))</f>
        <v/>
      </c>
    </row>
    <row r="822" customFormat="false" ht="15" hidden="false" customHeight="false" outlineLevel="0" collapsed="false">
      <c r="A822" s="11"/>
      <c r="B822" s="6"/>
      <c r="C822" s="11"/>
      <c r="D822" s="11"/>
      <c r="E822" s="8" t="str">
        <f aca="false">IF($A822="","",IF($B822&lt;PlanDate,"Late",""))</f>
        <v/>
      </c>
    </row>
    <row r="823" customFormat="false" ht="15" hidden="false" customHeight="false" outlineLevel="0" collapsed="false">
      <c r="A823" s="11"/>
      <c r="B823" s="6"/>
      <c r="C823" s="11"/>
      <c r="D823" s="11"/>
      <c r="E823" s="8" t="str">
        <f aca="false">IF($A823="","",IF($B823&lt;PlanDate,"Late",""))</f>
        <v/>
      </c>
    </row>
    <row r="824" customFormat="false" ht="15" hidden="false" customHeight="false" outlineLevel="0" collapsed="false">
      <c r="A824" s="11"/>
      <c r="B824" s="6"/>
      <c r="C824" s="11"/>
      <c r="D824" s="11"/>
      <c r="E824" s="8" t="str">
        <f aca="false">IF($A824="","",IF($B824&lt;PlanDate,"Late",""))</f>
        <v/>
      </c>
    </row>
    <row r="825" customFormat="false" ht="15" hidden="false" customHeight="false" outlineLevel="0" collapsed="false">
      <c r="A825" s="11"/>
      <c r="B825" s="6"/>
      <c r="C825" s="11"/>
      <c r="D825" s="11"/>
      <c r="E825" s="8" t="str">
        <f aca="false">IF($A825="","",IF($B825&lt;PlanDate,"Late",""))</f>
        <v/>
      </c>
    </row>
    <row r="826" customFormat="false" ht="15" hidden="false" customHeight="false" outlineLevel="0" collapsed="false">
      <c r="A826" s="11"/>
      <c r="B826" s="6"/>
      <c r="C826" s="11"/>
      <c r="D826" s="11"/>
      <c r="E826" s="8" t="str">
        <f aca="false">IF($A826="","",IF($B826&lt;PlanDate,"Late",""))</f>
        <v/>
      </c>
    </row>
    <row r="827" customFormat="false" ht="15" hidden="false" customHeight="false" outlineLevel="0" collapsed="false">
      <c r="A827" s="11"/>
      <c r="B827" s="6"/>
      <c r="C827" s="11"/>
      <c r="D827" s="11"/>
      <c r="E827" s="8" t="str">
        <f aca="false">IF($A827="","",IF($B827&lt;PlanDate,"Late",""))</f>
        <v/>
      </c>
    </row>
    <row r="828" customFormat="false" ht="15" hidden="false" customHeight="false" outlineLevel="0" collapsed="false">
      <c r="A828" s="11"/>
      <c r="B828" s="6"/>
      <c r="C828" s="11"/>
      <c r="D828" s="11"/>
      <c r="E828" s="8" t="str">
        <f aca="false">IF($A828="","",IF($B828&lt;PlanDate,"Late",""))</f>
        <v/>
      </c>
    </row>
    <row r="829" customFormat="false" ht="15" hidden="false" customHeight="false" outlineLevel="0" collapsed="false">
      <c r="A829" s="11"/>
      <c r="B829" s="6"/>
      <c r="C829" s="11"/>
      <c r="D829" s="11"/>
      <c r="E829" s="8" t="str">
        <f aca="false">IF($A829="","",IF($B829&lt;PlanDate,"Late",""))</f>
        <v/>
      </c>
    </row>
    <row r="830" customFormat="false" ht="15" hidden="false" customHeight="false" outlineLevel="0" collapsed="false">
      <c r="A830" s="11"/>
      <c r="B830" s="6"/>
      <c r="C830" s="11"/>
      <c r="D830" s="11"/>
      <c r="E830" s="8" t="str">
        <f aca="false">IF($A830="","",IF($B830&lt;PlanDate,"Late",""))</f>
        <v/>
      </c>
    </row>
    <row r="831" customFormat="false" ht="15" hidden="false" customHeight="false" outlineLevel="0" collapsed="false">
      <c r="A831" s="11"/>
      <c r="B831" s="6"/>
      <c r="C831" s="11"/>
      <c r="D831" s="11"/>
      <c r="E831" s="8" t="str">
        <f aca="false">IF($A831="","",IF($B831&lt;PlanDate,"Late",""))</f>
        <v/>
      </c>
    </row>
    <row r="832" customFormat="false" ht="15" hidden="false" customHeight="false" outlineLevel="0" collapsed="false">
      <c r="A832" s="11"/>
      <c r="B832" s="6"/>
      <c r="C832" s="11"/>
      <c r="D832" s="11"/>
      <c r="E832" s="8" t="str">
        <f aca="false">IF($A832="","",IF($B832&lt;PlanDate,"Late",""))</f>
        <v/>
      </c>
    </row>
    <row r="833" customFormat="false" ht="15" hidden="false" customHeight="false" outlineLevel="0" collapsed="false">
      <c r="A833" s="11"/>
      <c r="B833" s="6"/>
      <c r="C833" s="11"/>
      <c r="D833" s="11"/>
      <c r="E833" s="8" t="str">
        <f aca="false">IF($A833="","",IF($B833&lt;PlanDate,"Late",""))</f>
        <v/>
      </c>
    </row>
    <row r="834" customFormat="false" ht="15" hidden="false" customHeight="false" outlineLevel="0" collapsed="false">
      <c r="A834" s="11"/>
      <c r="B834" s="6"/>
      <c r="C834" s="11"/>
      <c r="D834" s="11"/>
      <c r="E834" s="8" t="str">
        <f aca="false">IF($A834="","",IF($B834&lt;PlanDate,"Late",""))</f>
        <v/>
      </c>
    </row>
    <row r="835" customFormat="false" ht="15" hidden="false" customHeight="false" outlineLevel="0" collapsed="false">
      <c r="A835" s="11"/>
      <c r="B835" s="6"/>
      <c r="C835" s="11"/>
      <c r="D835" s="11"/>
      <c r="E835" s="8" t="str">
        <f aca="false">IF($A835="","",IF($B835&lt;PlanDate,"Late",""))</f>
        <v/>
      </c>
    </row>
    <row r="836" customFormat="false" ht="15" hidden="false" customHeight="false" outlineLevel="0" collapsed="false">
      <c r="A836" s="11"/>
      <c r="B836" s="6"/>
      <c r="C836" s="11"/>
      <c r="D836" s="11"/>
      <c r="E836" s="8" t="str">
        <f aca="false">IF($A836="","",IF($B836&lt;PlanDate,"Late",""))</f>
        <v/>
      </c>
    </row>
    <row r="837" customFormat="false" ht="15" hidden="false" customHeight="false" outlineLevel="0" collapsed="false">
      <c r="A837" s="11"/>
      <c r="B837" s="6"/>
      <c r="C837" s="11"/>
      <c r="D837" s="11"/>
      <c r="E837" s="8" t="str">
        <f aca="false">IF($A837="","",IF($B837&lt;PlanDate,"Late",""))</f>
        <v/>
      </c>
    </row>
    <row r="838" customFormat="false" ht="15" hidden="false" customHeight="false" outlineLevel="0" collapsed="false">
      <c r="A838" s="11"/>
      <c r="B838" s="6"/>
      <c r="C838" s="11"/>
      <c r="D838" s="11"/>
      <c r="E838" s="8" t="str">
        <f aca="false">IF($A838="","",IF($B838&lt;PlanDate,"Late",""))</f>
        <v/>
      </c>
    </row>
    <row r="839" customFormat="false" ht="15" hidden="false" customHeight="false" outlineLevel="0" collapsed="false">
      <c r="A839" s="11"/>
      <c r="B839" s="6"/>
      <c r="C839" s="11"/>
      <c r="D839" s="11"/>
      <c r="E839" s="8" t="str">
        <f aca="false">IF($A839="","",IF($B839&lt;PlanDate,"Late",""))</f>
        <v/>
      </c>
    </row>
    <row r="840" customFormat="false" ht="15" hidden="false" customHeight="false" outlineLevel="0" collapsed="false">
      <c r="A840" s="11"/>
      <c r="B840" s="6"/>
      <c r="C840" s="11"/>
      <c r="D840" s="11"/>
      <c r="E840" s="8" t="str">
        <f aca="false">IF($A840="","",IF($B840&lt;PlanDate,"Late",""))</f>
        <v/>
      </c>
    </row>
    <row r="841" customFormat="false" ht="15" hidden="false" customHeight="false" outlineLevel="0" collapsed="false">
      <c r="A841" s="11"/>
      <c r="B841" s="6"/>
      <c r="C841" s="11"/>
      <c r="D841" s="11"/>
      <c r="E841" s="8" t="str">
        <f aca="false">IF($A841="","",IF($B841&lt;PlanDate,"Late",""))</f>
        <v/>
      </c>
    </row>
    <row r="842" customFormat="false" ht="15" hidden="false" customHeight="false" outlineLevel="0" collapsed="false">
      <c r="A842" s="11"/>
      <c r="B842" s="6"/>
      <c r="C842" s="11"/>
      <c r="D842" s="11"/>
      <c r="E842" s="8" t="str">
        <f aca="false">IF($A842="","",IF($B842&lt;PlanDate,"Late",""))</f>
        <v/>
      </c>
    </row>
    <row r="843" customFormat="false" ht="15" hidden="false" customHeight="false" outlineLevel="0" collapsed="false">
      <c r="A843" s="11"/>
      <c r="B843" s="6"/>
      <c r="C843" s="11"/>
      <c r="D843" s="11"/>
      <c r="E843" s="8" t="str">
        <f aca="false">IF($A843="","",IF($B843&lt;PlanDate,"Late",""))</f>
        <v/>
      </c>
    </row>
    <row r="844" customFormat="false" ht="15" hidden="false" customHeight="false" outlineLevel="0" collapsed="false">
      <c r="A844" s="11"/>
      <c r="B844" s="6"/>
      <c r="C844" s="11"/>
      <c r="D844" s="11"/>
      <c r="E844" s="8" t="str">
        <f aca="false">IF($A844="","",IF($B844&lt;PlanDate,"Late",""))</f>
        <v/>
      </c>
    </row>
    <row r="845" customFormat="false" ht="15" hidden="false" customHeight="false" outlineLevel="0" collapsed="false">
      <c r="A845" s="11"/>
      <c r="B845" s="6"/>
      <c r="C845" s="11"/>
      <c r="D845" s="11"/>
      <c r="E845" s="8" t="str">
        <f aca="false">IF($A845="","",IF($B845&lt;PlanDate,"Late",""))</f>
        <v/>
      </c>
    </row>
    <row r="846" customFormat="false" ht="15" hidden="false" customHeight="false" outlineLevel="0" collapsed="false">
      <c r="A846" s="11"/>
      <c r="B846" s="6"/>
      <c r="C846" s="11"/>
      <c r="D846" s="11"/>
      <c r="E846" s="8" t="str">
        <f aca="false">IF($A846="","",IF($B846&lt;PlanDate,"Late",""))</f>
        <v/>
      </c>
    </row>
    <row r="847" customFormat="false" ht="15" hidden="false" customHeight="false" outlineLevel="0" collapsed="false">
      <c r="A847" s="11"/>
      <c r="B847" s="6"/>
      <c r="C847" s="11"/>
      <c r="D847" s="11"/>
      <c r="E847" s="8" t="str">
        <f aca="false">IF($A847="","",IF($B847&lt;PlanDate,"Late",""))</f>
        <v/>
      </c>
    </row>
    <row r="848" customFormat="false" ht="15" hidden="false" customHeight="false" outlineLevel="0" collapsed="false">
      <c r="A848" s="11"/>
      <c r="B848" s="6"/>
      <c r="C848" s="11"/>
      <c r="D848" s="11"/>
      <c r="E848" s="8" t="str">
        <f aca="false">IF($A848="","",IF($B848&lt;PlanDate,"Late",""))</f>
        <v/>
      </c>
    </row>
    <row r="849" customFormat="false" ht="15" hidden="false" customHeight="false" outlineLevel="0" collapsed="false">
      <c r="A849" s="11"/>
      <c r="B849" s="6"/>
      <c r="C849" s="11"/>
      <c r="D849" s="11"/>
      <c r="E849" s="8" t="str">
        <f aca="false">IF($A849="","",IF($B849&lt;PlanDate,"Late",""))</f>
        <v/>
      </c>
    </row>
    <row r="850" customFormat="false" ht="15" hidden="false" customHeight="false" outlineLevel="0" collapsed="false">
      <c r="A850" s="11"/>
      <c r="B850" s="6"/>
      <c r="C850" s="11"/>
      <c r="D850" s="11"/>
      <c r="E850" s="8" t="str">
        <f aca="false">IF($A850="","",IF($B850&lt;PlanDate,"Late",""))</f>
        <v/>
      </c>
    </row>
    <row r="851" customFormat="false" ht="15" hidden="false" customHeight="false" outlineLevel="0" collapsed="false">
      <c r="A851" s="11"/>
      <c r="B851" s="6"/>
      <c r="C851" s="11"/>
      <c r="D851" s="11"/>
      <c r="E851" s="8" t="str">
        <f aca="false">IF($A851="","",IF($B851&lt;PlanDate,"Late",""))</f>
        <v/>
      </c>
    </row>
    <row r="852" customFormat="false" ht="15" hidden="false" customHeight="false" outlineLevel="0" collapsed="false">
      <c r="A852" s="11"/>
      <c r="B852" s="6"/>
      <c r="C852" s="11"/>
      <c r="D852" s="11"/>
      <c r="E852" s="8" t="str">
        <f aca="false">IF($A852="","",IF($B852&lt;PlanDate,"Late",""))</f>
        <v/>
      </c>
    </row>
    <row r="853" customFormat="false" ht="15" hidden="false" customHeight="false" outlineLevel="0" collapsed="false">
      <c r="A853" s="11"/>
      <c r="B853" s="6"/>
      <c r="C853" s="11"/>
      <c r="D853" s="11"/>
      <c r="E853" s="8" t="str">
        <f aca="false">IF($A853="","",IF($B853&lt;PlanDate,"Late",""))</f>
        <v/>
      </c>
    </row>
    <row r="854" customFormat="false" ht="15" hidden="false" customHeight="false" outlineLevel="0" collapsed="false">
      <c r="A854" s="11"/>
      <c r="B854" s="6"/>
      <c r="C854" s="11"/>
      <c r="D854" s="11"/>
      <c r="E854" s="8" t="str">
        <f aca="false">IF($A854="","",IF($B854&lt;PlanDate,"Late",""))</f>
        <v/>
      </c>
    </row>
    <row r="855" customFormat="false" ht="15" hidden="false" customHeight="false" outlineLevel="0" collapsed="false">
      <c r="A855" s="11"/>
      <c r="B855" s="6"/>
      <c r="C855" s="11"/>
      <c r="D855" s="11"/>
      <c r="E855" s="8" t="str">
        <f aca="false">IF($A855="","",IF($B855&lt;PlanDate,"Late",""))</f>
        <v/>
      </c>
    </row>
    <row r="856" customFormat="false" ht="15" hidden="false" customHeight="false" outlineLevel="0" collapsed="false">
      <c r="A856" s="11"/>
      <c r="B856" s="6"/>
      <c r="C856" s="11"/>
      <c r="D856" s="11"/>
      <c r="E856" s="8" t="str">
        <f aca="false">IF($A856="","",IF($B856&lt;PlanDate,"Late",""))</f>
        <v/>
      </c>
    </row>
    <row r="857" customFormat="false" ht="15" hidden="false" customHeight="false" outlineLevel="0" collapsed="false">
      <c r="A857" s="11"/>
      <c r="B857" s="6"/>
      <c r="C857" s="11"/>
      <c r="D857" s="11"/>
      <c r="E857" s="8" t="str">
        <f aca="false">IF($A857="","",IF($B857&lt;PlanDate,"Late",""))</f>
        <v/>
      </c>
    </row>
    <row r="858" customFormat="false" ht="15" hidden="false" customHeight="false" outlineLevel="0" collapsed="false">
      <c r="A858" s="11"/>
      <c r="B858" s="6"/>
      <c r="C858" s="11"/>
      <c r="D858" s="11"/>
      <c r="E858" s="8" t="str">
        <f aca="false">IF($A858="","",IF($B858&lt;PlanDate,"Late",""))</f>
        <v/>
      </c>
    </row>
    <row r="859" customFormat="false" ht="15" hidden="false" customHeight="false" outlineLevel="0" collapsed="false">
      <c r="A859" s="11"/>
      <c r="B859" s="6"/>
      <c r="C859" s="11"/>
      <c r="D859" s="11"/>
      <c r="E859" s="8" t="str">
        <f aca="false">IF($A859="","",IF($B859&lt;PlanDate,"Late",""))</f>
        <v/>
      </c>
    </row>
    <row r="860" customFormat="false" ht="15" hidden="false" customHeight="false" outlineLevel="0" collapsed="false">
      <c r="A860" s="11"/>
      <c r="B860" s="6"/>
      <c r="C860" s="11"/>
      <c r="D860" s="11"/>
      <c r="E860" s="8" t="str">
        <f aca="false">IF($A860="","",IF($B860&lt;PlanDate,"Late",""))</f>
        <v/>
      </c>
    </row>
    <row r="861" customFormat="false" ht="15" hidden="false" customHeight="false" outlineLevel="0" collapsed="false">
      <c r="A861" s="11"/>
      <c r="B861" s="6"/>
      <c r="C861" s="11"/>
      <c r="D861" s="11"/>
      <c r="E861" s="8" t="str">
        <f aca="false">IF($A861="","",IF($B861&lt;PlanDate,"Late",""))</f>
        <v/>
      </c>
    </row>
    <row r="862" customFormat="false" ht="15" hidden="false" customHeight="false" outlineLevel="0" collapsed="false">
      <c r="A862" s="11"/>
      <c r="B862" s="6"/>
      <c r="C862" s="11"/>
      <c r="D862" s="11"/>
      <c r="E862" s="8" t="str">
        <f aca="false">IF($A862="","",IF($B862&lt;PlanDate,"Late",""))</f>
        <v/>
      </c>
    </row>
    <row r="863" customFormat="false" ht="15" hidden="false" customHeight="false" outlineLevel="0" collapsed="false">
      <c r="A863" s="11"/>
      <c r="B863" s="6"/>
      <c r="C863" s="11"/>
      <c r="D863" s="11"/>
      <c r="E863" s="8" t="str">
        <f aca="false">IF($A863="","",IF($B863&lt;PlanDate,"Late",""))</f>
        <v/>
      </c>
    </row>
    <row r="864" customFormat="false" ht="15" hidden="false" customHeight="false" outlineLevel="0" collapsed="false">
      <c r="A864" s="11"/>
      <c r="B864" s="6"/>
      <c r="C864" s="11"/>
      <c r="D864" s="11"/>
      <c r="E864" s="8" t="str">
        <f aca="false">IF($A864="","",IF($B864&lt;PlanDate,"Late",""))</f>
        <v/>
      </c>
    </row>
    <row r="865" customFormat="false" ht="15" hidden="false" customHeight="false" outlineLevel="0" collapsed="false">
      <c r="A865" s="11"/>
      <c r="B865" s="6"/>
      <c r="C865" s="11"/>
      <c r="D865" s="11"/>
      <c r="E865" s="8" t="str">
        <f aca="false">IF($A865="","",IF($B865&lt;PlanDate,"Late",""))</f>
        <v/>
      </c>
    </row>
    <row r="866" customFormat="false" ht="15" hidden="false" customHeight="false" outlineLevel="0" collapsed="false">
      <c r="A866" s="11"/>
      <c r="B866" s="6"/>
      <c r="C866" s="11"/>
      <c r="D866" s="11"/>
      <c r="E866" s="8" t="str">
        <f aca="false">IF($A866="","",IF($B866&lt;PlanDate,"Late",""))</f>
        <v/>
      </c>
    </row>
    <row r="867" customFormat="false" ht="15" hidden="false" customHeight="false" outlineLevel="0" collapsed="false">
      <c r="A867" s="11"/>
      <c r="B867" s="6"/>
      <c r="C867" s="11"/>
      <c r="D867" s="11"/>
      <c r="E867" s="8" t="str">
        <f aca="false">IF($A867="","",IF($B867&lt;PlanDate,"Late",""))</f>
        <v/>
      </c>
    </row>
    <row r="868" customFormat="false" ht="15" hidden="false" customHeight="false" outlineLevel="0" collapsed="false">
      <c r="A868" s="11"/>
      <c r="B868" s="6"/>
      <c r="C868" s="11"/>
      <c r="D868" s="11"/>
      <c r="E868" s="8" t="str">
        <f aca="false">IF($A868="","",IF($B868&lt;PlanDate,"Late",""))</f>
        <v/>
      </c>
    </row>
    <row r="869" customFormat="false" ht="15" hidden="false" customHeight="false" outlineLevel="0" collapsed="false">
      <c r="A869" s="11"/>
      <c r="B869" s="6"/>
      <c r="C869" s="11"/>
      <c r="D869" s="11"/>
      <c r="E869" s="8" t="str">
        <f aca="false">IF($A869="","",IF($B869&lt;PlanDate,"Late",""))</f>
        <v/>
      </c>
    </row>
    <row r="870" customFormat="false" ht="15" hidden="false" customHeight="false" outlineLevel="0" collapsed="false">
      <c r="A870" s="11"/>
      <c r="B870" s="6"/>
      <c r="C870" s="11"/>
      <c r="D870" s="11"/>
      <c r="E870" s="8" t="str">
        <f aca="false">IF($A870="","",IF($B870&lt;PlanDate,"Late",""))</f>
        <v/>
      </c>
    </row>
    <row r="871" customFormat="false" ht="15" hidden="false" customHeight="false" outlineLevel="0" collapsed="false">
      <c r="A871" s="11"/>
      <c r="B871" s="6"/>
      <c r="C871" s="11"/>
      <c r="D871" s="11"/>
      <c r="E871" s="8" t="str">
        <f aca="false">IF($A871="","",IF($B871&lt;PlanDate,"Late",""))</f>
        <v/>
      </c>
    </row>
    <row r="872" customFormat="false" ht="15" hidden="false" customHeight="false" outlineLevel="0" collapsed="false">
      <c r="A872" s="11"/>
      <c r="B872" s="6"/>
      <c r="C872" s="11"/>
      <c r="D872" s="11"/>
      <c r="E872" s="8" t="str">
        <f aca="false">IF($A872="","",IF($B872&lt;PlanDate,"Late",""))</f>
        <v/>
      </c>
    </row>
    <row r="873" customFormat="false" ht="15" hidden="false" customHeight="false" outlineLevel="0" collapsed="false">
      <c r="A873" s="11"/>
      <c r="B873" s="6"/>
      <c r="C873" s="11"/>
      <c r="D873" s="11"/>
      <c r="E873" s="8" t="str">
        <f aca="false">IF($A873="","",IF($B873&lt;PlanDate,"Late",""))</f>
        <v/>
      </c>
    </row>
    <row r="874" customFormat="false" ht="15" hidden="false" customHeight="false" outlineLevel="0" collapsed="false">
      <c r="A874" s="11"/>
      <c r="B874" s="6"/>
      <c r="C874" s="11"/>
      <c r="D874" s="11"/>
      <c r="E874" s="8" t="str">
        <f aca="false">IF($A874="","",IF($B874&lt;PlanDate,"Late",""))</f>
        <v/>
      </c>
    </row>
    <row r="875" customFormat="false" ht="15" hidden="false" customHeight="false" outlineLevel="0" collapsed="false">
      <c r="A875" s="11"/>
      <c r="B875" s="6"/>
      <c r="C875" s="11"/>
      <c r="D875" s="11"/>
      <c r="E875" s="8" t="str">
        <f aca="false">IF($A875="","",IF($B875&lt;PlanDate,"Late",""))</f>
        <v/>
      </c>
    </row>
    <row r="876" customFormat="false" ht="15" hidden="false" customHeight="false" outlineLevel="0" collapsed="false">
      <c r="A876" s="11"/>
      <c r="B876" s="6"/>
      <c r="C876" s="11"/>
      <c r="D876" s="11"/>
      <c r="E876" s="8" t="str">
        <f aca="false">IF($A876="","",IF($B876&lt;PlanDate,"Late",""))</f>
        <v/>
      </c>
    </row>
    <row r="877" customFormat="false" ht="15" hidden="false" customHeight="false" outlineLevel="0" collapsed="false">
      <c r="A877" s="11"/>
      <c r="B877" s="6"/>
      <c r="C877" s="11"/>
      <c r="D877" s="11"/>
      <c r="E877" s="8" t="str">
        <f aca="false">IF($A877="","",IF($B877&lt;PlanDate,"Late",""))</f>
        <v/>
      </c>
    </row>
    <row r="878" customFormat="false" ht="15" hidden="false" customHeight="false" outlineLevel="0" collapsed="false">
      <c r="A878" s="11"/>
      <c r="B878" s="6"/>
      <c r="C878" s="11"/>
      <c r="D878" s="11"/>
      <c r="E878" s="8" t="str">
        <f aca="false">IF($A878="","",IF($B878&lt;PlanDate,"Late",""))</f>
        <v/>
      </c>
    </row>
    <row r="879" customFormat="false" ht="15" hidden="false" customHeight="false" outlineLevel="0" collapsed="false">
      <c r="A879" s="11"/>
      <c r="B879" s="6"/>
      <c r="C879" s="11"/>
      <c r="D879" s="11"/>
      <c r="E879" s="8" t="str">
        <f aca="false">IF($A879="","",IF($B879&lt;PlanDate,"Late",""))</f>
        <v/>
      </c>
    </row>
    <row r="880" customFormat="false" ht="15" hidden="false" customHeight="false" outlineLevel="0" collapsed="false">
      <c r="A880" s="11"/>
      <c r="B880" s="6"/>
      <c r="C880" s="11"/>
      <c r="D880" s="11"/>
      <c r="E880" s="8" t="str">
        <f aca="false">IF($A880="","",IF($B880&lt;PlanDate,"Late",""))</f>
        <v/>
      </c>
    </row>
    <row r="881" customFormat="false" ht="15" hidden="false" customHeight="false" outlineLevel="0" collapsed="false">
      <c r="A881" s="11"/>
      <c r="B881" s="6"/>
      <c r="C881" s="11"/>
      <c r="D881" s="11"/>
      <c r="E881" s="8" t="str">
        <f aca="false">IF($A881="","",IF($B881&lt;PlanDate,"Late",""))</f>
        <v/>
      </c>
    </row>
    <row r="882" customFormat="false" ht="15" hidden="false" customHeight="false" outlineLevel="0" collapsed="false">
      <c r="A882" s="11"/>
      <c r="B882" s="6"/>
      <c r="C882" s="11"/>
      <c r="D882" s="11"/>
      <c r="E882" s="8" t="str">
        <f aca="false">IF($A882="","",IF($B882&lt;PlanDate,"Late",""))</f>
        <v/>
      </c>
    </row>
    <row r="883" customFormat="false" ht="15" hidden="false" customHeight="false" outlineLevel="0" collapsed="false">
      <c r="A883" s="11"/>
      <c r="B883" s="6"/>
      <c r="C883" s="11"/>
      <c r="D883" s="11"/>
      <c r="E883" s="8" t="str">
        <f aca="false">IF($A883="","",IF($B883&lt;PlanDate,"Late",""))</f>
        <v/>
      </c>
    </row>
    <row r="884" customFormat="false" ht="15" hidden="false" customHeight="false" outlineLevel="0" collapsed="false">
      <c r="A884" s="11"/>
      <c r="B884" s="6"/>
      <c r="C884" s="11"/>
      <c r="D884" s="11"/>
      <c r="E884" s="8" t="str">
        <f aca="false">IF($A884="","",IF($B884&lt;PlanDate,"Late",""))</f>
        <v/>
      </c>
    </row>
    <row r="885" customFormat="false" ht="15" hidden="false" customHeight="false" outlineLevel="0" collapsed="false">
      <c r="A885" s="11"/>
      <c r="B885" s="6"/>
      <c r="C885" s="11"/>
      <c r="D885" s="11"/>
      <c r="E885" s="8" t="str">
        <f aca="false">IF($A885="","",IF($B885&lt;PlanDate,"Late",""))</f>
        <v/>
      </c>
    </row>
    <row r="886" customFormat="false" ht="15" hidden="false" customHeight="false" outlineLevel="0" collapsed="false">
      <c r="A886" s="11"/>
      <c r="B886" s="6"/>
      <c r="C886" s="11"/>
      <c r="D886" s="11"/>
      <c r="E886" s="8" t="str">
        <f aca="false">IF($A886="","",IF($B886&lt;PlanDate,"Late",""))</f>
        <v/>
      </c>
    </row>
    <row r="887" customFormat="false" ht="15" hidden="false" customHeight="false" outlineLevel="0" collapsed="false">
      <c r="A887" s="11"/>
      <c r="B887" s="6"/>
      <c r="C887" s="11"/>
      <c r="D887" s="11"/>
      <c r="E887" s="8" t="str">
        <f aca="false">IF($A887="","",IF($B887&lt;PlanDate,"Late",""))</f>
        <v/>
      </c>
    </row>
    <row r="888" customFormat="false" ht="15" hidden="false" customHeight="false" outlineLevel="0" collapsed="false">
      <c r="A888" s="11"/>
      <c r="B888" s="6"/>
      <c r="C888" s="11"/>
      <c r="D888" s="11"/>
      <c r="E888" s="8" t="str">
        <f aca="false">IF($A888="","",IF($B888&lt;PlanDate,"Late",""))</f>
        <v/>
      </c>
    </row>
    <row r="889" customFormat="false" ht="15" hidden="false" customHeight="false" outlineLevel="0" collapsed="false">
      <c r="A889" s="11"/>
      <c r="B889" s="6"/>
      <c r="C889" s="11"/>
      <c r="D889" s="11"/>
      <c r="E889" s="8" t="str">
        <f aca="false">IF($A889="","",IF($B889&lt;PlanDate,"Late",""))</f>
        <v/>
      </c>
    </row>
    <row r="890" customFormat="false" ht="15" hidden="false" customHeight="false" outlineLevel="0" collapsed="false">
      <c r="A890" s="11"/>
      <c r="B890" s="6"/>
      <c r="C890" s="11"/>
      <c r="D890" s="11"/>
      <c r="E890" s="8" t="str">
        <f aca="false">IF($A890="","",IF($B890&lt;PlanDate,"Late",""))</f>
        <v/>
      </c>
    </row>
    <row r="891" customFormat="false" ht="15" hidden="false" customHeight="false" outlineLevel="0" collapsed="false">
      <c r="A891" s="11"/>
      <c r="B891" s="6"/>
      <c r="C891" s="11"/>
      <c r="D891" s="11"/>
      <c r="E891" s="8" t="str">
        <f aca="false">IF($A891="","",IF($B891&lt;PlanDate,"Late",""))</f>
        <v/>
      </c>
    </row>
    <row r="892" customFormat="false" ht="15" hidden="false" customHeight="false" outlineLevel="0" collapsed="false">
      <c r="A892" s="11"/>
      <c r="B892" s="6"/>
      <c r="C892" s="11"/>
      <c r="D892" s="11"/>
      <c r="E892" s="8" t="str">
        <f aca="false">IF($A892="","",IF($B892&lt;PlanDate,"Late",""))</f>
        <v/>
      </c>
    </row>
    <row r="893" customFormat="false" ht="15" hidden="false" customHeight="false" outlineLevel="0" collapsed="false">
      <c r="A893" s="11"/>
      <c r="B893" s="6"/>
      <c r="C893" s="11"/>
      <c r="D893" s="11"/>
      <c r="E893" s="8" t="str">
        <f aca="false">IF($A893="","",IF($B893&lt;PlanDate,"Late",""))</f>
        <v/>
      </c>
    </row>
    <row r="894" customFormat="false" ht="15" hidden="false" customHeight="false" outlineLevel="0" collapsed="false">
      <c r="A894" s="11"/>
      <c r="B894" s="6"/>
      <c r="C894" s="11"/>
      <c r="D894" s="11"/>
      <c r="E894" s="8" t="str">
        <f aca="false">IF($A894="","",IF($B894&lt;PlanDate,"Late",""))</f>
        <v/>
      </c>
    </row>
    <row r="895" customFormat="false" ht="15" hidden="false" customHeight="false" outlineLevel="0" collapsed="false">
      <c r="A895" s="11"/>
      <c r="B895" s="6"/>
      <c r="C895" s="11"/>
      <c r="D895" s="11"/>
      <c r="E895" s="8" t="str">
        <f aca="false">IF($A895="","",IF($B895&lt;PlanDate,"Late",""))</f>
        <v/>
      </c>
    </row>
    <row r="896" customFormat="false" ht="15" hidden="false" customHeight="false" outlineLevel="0" collapsed="false">
      <c r="A896" s="11"/>
      <c r="B896" s="6"/>
      <c r="C896" s="11"/>
      <c r="D896" s="11"/>
      <c r="E896" s="8" t="str">
        <f aca="false">IF($A896="","",IF($B896&lt;PlanDate,"Late",""))</f>
        <v/>
      </c>
    </row>
    <row r="897" customFormat="false" ht="15" hidden="false" customHeight="false" outlineLevel="0" collapsed="false">
      <c r="A897" s="11"/>
      <c r="B897" s="6"/>
      <c r="C897" s="11"/>
      <c r="D897" s="11"/>
      <c r="E897" s="8" t="str">
        <f aca="false">IF($A897="","",IF($B897&lt;PlanDate,"Late",""))</f>
        <v/>
      </c>
    </row>
    <row r="898" customFormat="false" ht="15" hidden="false" customHeight="false" outlineLevel="0" collapsed="false">
      <c r="A898" s="11"/>
      <c r="B898" s="6"/>
      <c r="C898" s="11"/>
      <c r="D898" s="11"/>
      <c r="E898" s="8" t="str">
        <f aca="false">IF($A898="","",IF($B898&lt;PlanDate,"Late",""))</f>
        <v/>
      </c>
    </row>
    <row r="899" customFormat="false" ht="15" hidden="false" customHeight="false" outlineLevel="0" collapsed="false">
      <c r="A899" s="11"/>
      <c r="B899" s="6"/>
      <c r="C899" s="11"/>
      <c r="D899" s="11"/>
      <c r="E899" s="8" t="str">
        <f aca="false">IF($A899="","",IF($B899&lt;PlanDate,"Late",""))</f>
        <v/>
      </c>
    </row>
    <row r="900" customFormat="false" ht="15" hidden="false" customHeight="false" outlineLevel="0" collapsed="false">
      <c r="A900" s="11"/>
      <c r="B900" s="6"/>
      <c r="C900" s="11"/>
      <c r="D900" s="11"/>
      <c r="E900" s="8" t="str">
        <f aca="false">IF($A900="","",IF($B900&lt;PlanDate,"Late",""))</f>
        <v/>
      </c>
    </row>
    <row r="901" customFormat="false" ht="15" hidden="false" customHeight="false" outlineLevel="0" collapsed="false">
      <c r="A901" s="11"/>
      <c r="B901" s="6"/>
      <c r="C901" s="11"/>
      <c r="D901" s="11"/>
      <c r="E901" s="8" t="str">
        <f aca="false">IF($A901="","",IF($B901&lt;PlanDate,"Late",""))</f>
        <v/>
      </c>
    </row>
    <row r="902" customFormat="false" ht="15" hidden="false" customHeight="false" outlineLevel="0" collapsed="false">
      <c r="A902" s="11"/>
      <c r="B902" s="6"/>
      <c r="C902" s="11"/>
      <c r="D902" s="11"/>
      <c r="E902" s="8" t="str">
        <f aca="false">IF($A902="","",IF($B902&lt;PlanDate,"Late",""))</f>
        <v/>
      </c>
    </row>
    <row r="903" customFormat="false" ht="15" hidden="false" customHeight="false" outlineLevel="0" collapsed="false">
      <c r="A903" s="11"/>
      <c r="B903" s="6"/>
      <c r="C903" s="11"/>
      <c r="D903" s="11"/>
      <c r="E903" s="8" t="str">
        <f aca="false">IF($A903="","",IF($B903&lt;PlanDate,"Late",""))</f>
        <v/>
      </c>
    </row>
    <row r="904" customFormat="false" ht="15" hidden="false" customHeight="false" outlineLevel="0" collapsed="false">
      <c r="A904" s="11"/>
      <c r="B904" s="6"/>
      <c r="C904" s="11"/>
      <c r="D904" s="11"/>
      <c r="E904" s="8" t="str">
        <f aca="false">IF($A904="","",IF($B904&lt;PlanDate,"Late",""))</f>
        <v/>
      </c>
    </row>
    <row r="905" customFormat="false" ht="15" hidden="false" customHeight="false" outlineLevel="0" collapsed="false">
      <c r="A905" s="11"/>
      <c r="B905" s="6"/>
      <c r="C905" s="11"/>
      <c r="D905" s="11"/>
      <c r="E905" s="8" t="str">
        <f aca="false">IF($A905="","",IF($B905&lt;PlanDate,"Late",""))</f>
        <v/>
      </c>
    </row>
    <row r="906" customFormat="false" ht="15" hidden="false" customHeight="false" outlineLevel="0" collapsed="false">
      <c r="A906" s="11"/>
      <c r="B906" s="6"/>
      <c r="C906" s="11"/>
      <c r="D906" s="11"/>
      <c r="E906" s="8" t="str">
        <f aca="false">IF($A906="","",IF($B906&lt;PlanDate,"Late",""))</f>
        <v/>
      </c>
    </row>
    <row r="907" customFormat="false" ht="15" hidden="false" customHeight="false" outlineLevel="0" collapsed="false">
      <c r="A907" s="11"/>
      <c r="B907" s="6"/>
      <c r="C907" s="11"/>
      <c r="D907" s="11"/>
      <c r="E907" s="8" t="str">
        <f aca="false">IF($A907="","",IF($B907&lt;PlanDate,"Late",""))</f>
        <v/>
      </c>
    </row>
    <row r="908" customFormat="false" ht="15" hidden="false" customHeight="false" outlineLevel="0" collapsed="false">
      <c r="A908" s="11"/>
      <c r="B908" s="6"/>
      <c r="C908" s="11"/>
      <c r="D908" s="11"/>
      <c r="E908" s="8" t="str">
        <f aca="false">IF($A908="","",IF($B908&lt;PlanDate,"Late",""))</f>
        <v/>
      </c>
    </row>
    <row r="909" customFormat="false" ht="15" hidden="false" customHeight="false" outlineLevel="0" collapsed="false">
      <c r="A909" s="11"/>
      <c r="B909" s="6"/>
      <c r="C909" s="11"/>
      <c r="D909" s="11"/>
      <c r="E909" s="8" t="str">
        <f aca="false">IF($A909="","",IF($B909&lt;PlanDate,"Late",""))</f>
        <v/>
      </c>
    </row>
    <row r="910" customFormat="false" ht="15" hidden="false" customHeight="false" outlineLevel="0" collapsed="false">
      <c r="A910" s="11"/>
      <c r="B910" s="6"/>
      <c r="C910" s="11"/>
      <c r="D910" s="11"/>
      <c r="E910" s="8" t="str">
        <f aca="false">IF($A910="","",IF($B910&lt;PlanDate,"Late",""))</f>
        <v/>
      </c>
    </row>
    <row r="911" customFormat="false" ht="15" hidden="false" customHeight="false" outlineLevel="0" collapsed="false">
      <c r="A911" s="11"/>
      <c r="B911" s="6"/>
      <c r="C911" s="11"/>
      <c r="D911" s="11"/>
      <c r="E911" s="8" t="str">
        <f aca="false">IF($A911="","",IF($B911&lt;PlanDate,"Late",""))</f>
        <v/>
      </c>
    </row>
    <row r="912" customFormat="false" ht="15" hidden="false" customHeight="false" outlineLevel="0" collapsed="false">
      <c r="A912" s="11"/>
      <c r="B912" s="6"/>
      <c r="C912" s="11"/>
      <c r="D912" s="11"/>
      <c r="E912" s="8" t="str">
        <f aca="false">IF($A912="","",IF($B912&lt;PlanDate,"Late",""))</f>
        <v/>
      </c>
    </row>
    <row r="913" customFormat="false" ht="15" hidden="false" customHeight="false" outlineLevel="0" collapsed="false">
      <c r="A913" s="11"/>
      <c r="B913" s="6"/>
      <c r="C913" s="11"/>
      <c r="D913" s="11"/>
      <c r="E913" s="8" t="str">
        <f aca="false">IF($A913="","",IF($B913&lt;PlanDate,"Late",""))</f>
        <v/>
      </c>
    </row>
    <row r="914" customFormat="false" ht="15" hidden="false" customHeight="false" outlineLevel="0" collapsed="false">
      <c r="A914" s="11"/>
      <c r="B914" s="6"/>
      <c r="C914" s="11"/>
      <c r="D914" s="11"/>
      <c r="E914" s="8" t="str">
        <f aca="false">IF($A914="","",IF($B914&lt;PlanDate,"Late",""))</f>
        <v/>
      </c>
    </row>
    <row r="915" customFormat="false" ht="15" hidden="false" customHeight="false" outlineLevel="0" collapsed="false">
      <c r="A915" s="11"/>
      <c r="B915" s="6"/>
      <c r="C915" s="11"/>
      <c r="D915" s="11"/>
      <c r="E915" s="8" t="str">
        <f aca="false">IF($A915="","",IF($B915&lt;PlanDate,"Late",""))</f>
        <v/>
      </c>
    </row>
    <row r="916" customFormat="false" ht="15" hidden="false" customHeight="false" outlineLevel="0" collapsed="false">
      <c r="A916" s="11"/>
      <c r="B916" s="6"/>
      <c r="C916" s="11"/>
      <c r="D916" s="11"/>
      <c r="E916" s="8" t="str">
        <f aca="false">IF($A916="","",IF($B916&lt;PlanDate,"Late",""))</f>
        <v/>
      </c>
    </row>
    <row r="917" customFormat="false" ht="15" hidden="false" customHeight="false" outlineLevel="0" collapsed="false">
      <c r="A917" s="11"/>
      <c r="B917" s="6"/>
      <c r="C917" s="11"/>
      <c r="D917" s="11"/>
      <c r="E917" s="8" t="str">
        <f aca="false">IF($A917="","",IF($B917&lt;PlanDate,"Late",""))</f>
        <v/>
      </c>
    </row>
    <row r="918" customFormat="false" ht="15" hidden="false" customHeight="false" outlineLevel="0" collapsed="false">
      <c r="A918" s="11"/>
      <c r="B918" s="6"/>
      <c r="C918" s="11"/>
      <c r="D918" s="11"/>
      <c r="E918" s="8" t="str">
        <f aca="false">IF($A918="","",IF($B918&lt;PlanDate,"Late",""))</f>
        <v/>
      </c>
    </row>
    <row r="919" customFormat="false" ht="15" hidden="false" customHeight="false" outlineLevel="0" collapsed="false">
      <c r="A919" s="11"/>
      <c r="B919" s="6"/>
      <c r="C919" s="11"/>
      <c r="D919" s="11"/>
      <c r="E919" s="8" t="str">
        <f aca="false">IF($A919="","",IF($B919&lt;PlanDate,"Late",""))</f>
        <v/>
      </c>
    </row>
    <row r="920" customFormat="false" ht="15" hidden="false" customHeight="false" outlineLevel="0" collapsed="false">
      <c r="A920" s="11"/>
      <c r="B920" s="6"/>
      <c r="C920" s="11"/>
      <c r="D920" s="11"/>
      <c r="E920" s="8" t="str">
        <f aca="false">IF($A920="","",IF($B920&lt;PlanDate,"Late",""))</f>
        <v/>
      </c>
    </row>
    <row r="921" customFormat="false" ht="15" hidden="false" customHeight="false" outlineLevel="0" collapsed="false">
      <c r="A921" s="11"/>
      <c r="B921" s="6"/>
      <c r="C921" s="11"/>
      <c r="D921" s="11"/>
      <c r="E921" s="8" t="str">
        <f aca="false">IF($A921="","",IF($B921&lt;PlanDate,"Late",""))</f>
        <v/>
      </c>
    </row>
    <row r="922" customFormat="false" ht="15" hidden="false" customHeight="false" outlineLevel="0" collapsed="false">
      <c r="A922" s="11"/>
      <c r="B922" s="6"/>
      <c r="C922" s="11"/>
      <c r="D922" s="11"/>
      <c r="E922" s="8" t="str">
        <f aca="false">IF($A922="","",IF($B922&lt;PlanDate,"Late",""))</f>
        <v/>
      </c>
    </row>
    <row r="923" customFormat="false" ht="15" hidden="false" customHeight="false" outlineLevel="0" collapsed="false">
      <c r="A923" s="11"/>
      <c r="B923" s="6"/>
      <c r="C923" s="11"/>
      <c r="D923" s="11"/>
      <c r="E923" s="8" t="str">
        <f aca="false">IF($A923="","",IF($B923&lt;PlanDate,"Late",""))</f>
        <v/>
      </c>
    </row>
    <row r="924" customFormat="false" ht="15" hidden="false" customHeight="false" outlineLevel="0" collapsed="false">
      <c r="A924" s="11"/>
      <c r="B924" s="6"/>
      <c r="C924" s="11"/>
      <c r="D924" s="11"/>
      <c r="E924" s="8" t="str">
        <f aca="false">IF($A924="","",IF($B924&lt;PlanDate,"Late",""))</f>
        <v/>
      </c>
    </row>
    <row r="925" customFormat="false" ht="15" hidden="false" customHeight="false" outlineLevel="0" collapsed="false">
      <c r="A925" s="11"/>
      <c r="B925" s="6"/>
      <c r="C925" s="11"/>
      <c r="D925" s="11"/>
      <c r="E925" s="8" t="str">
        <f aca="false">IF($A925="","",IF($B925&lt;PlanDate,"Late",""))</f>
        <v/>
      </c>
    </row>
    <row r="926" customFormat="false" ht="15" hidden="false" customHeight="false" outlineLevel="0" collapsed="false">
      <c r="A926" s="11"/>
      <c r="B926" s="6"/>
      <c r="C926" s="11"/>
      <c r="D926" s="11"/>
      <c r="E926" s="8" t="str">
        <f aca="false">IF($A926="","",IF($B926&lt;PlanDate,"Late",""))</f>
        <v/>
      </c>
    </row>
    <row r="927" customFormat="false" ht="15" hidden="false" customHeight="false" outlineLevel="0" collapsed="false">
      <c r="A927" s="11"/>
      <c r="B927" s="6"/>
      <c r="C927" s="11"/>
      <c r="D927" s="11"/>
      <c r="E927" s="8" t="str">
        <f aca="false">IF($A927="","",IF($B927&lt;PlanDate,"Late",""))</f>
        <v/>
      </c>
    </row>
    <row r="928" customFormat="false" ht="15" hidden="false" customHeight="false" outlineLevel="0" collapsed="false">
      <c r="A928" s="11"/>
      <c r="B928" s="6"/>
      <c r="C928" s="11"/>
      <c r="D928" s="11"/>
      <c r="E928" s="8" t="str">
        <f aca="false">IF($A928="","",IF($B928&lt;PlanDate,"Late",""))</f>
        <v/>
      </c>
    </row>
    <row r="929" customFormat="false" ht="15" hidden="false" customHeight="false" outlineLevel="0" collapsed="false">
      <c r="A929" s="11"/>
      <c r="B929" s="6"/>
      <c r="C929" s="11"/>
      <c r="D929" s="11"/>
      <c r="E929" s="8" t="str">
        <f aca="false">IF($A929="","",IF($B929&lt;PlanDate,"Late",""))</f>
        <v/>
      </c>
    </row>
    <row r="930" customFormat="false" ht="15" hidden="false" customHeight="false" outlineLevel="0" collapsed="false">
      <c r="A930" s="11"/>
      <c r="B930" s="6"/>
      <c r="C930" s="11"/>
      <c r="D930" s="11"/>
      <c r="E930" s="8" t="str">
        <f aca="false">IF($A930="","",IF($B930&lt;PlanDate,"Late",""))</f>
        <v/>
      </c>
    </row>
    <row r="931" customFormat="false" ht="15" hidden="false" customHeight="false" outlineLevel="0" collapsed="false">
      <c r="A931" s="11"/>
      <c r="B931" s="6"/>
      <c r="C931" s="11"/>
      <c r="D931" s="11"/>
      <c r="E931" s="8" t="str">
        <f aca="false">IF($A931="","",IF($B931&lt;PlanDate,"Late",""))</f>
        <v/>
      </c>
    </row>
    <row r="932" customFormat="false" ht="15" hidden="false" customHeight="false" outlineLevel="0" collapsed="false">
      <c r="A932" s="11"/>
      <c r="B932" s="6"/>
      <c r="C932" s="11"/>
      <c r="D932" s="11"/>
      <c r="E932" s="8" t="str">
        <f aca="false">IF($A932="","",IF($B932&lt;PlanDate,"Late",""))</f>
        <v/>
      </c>
    </row>
    <row r="933" customFormat="false" ht="15" hidden="false" customHeight="false" outlineLevel="0" collapsed="false">
      <c r="A933" s="11"/>
      <c r="B933" s="6"/>
      <c r="C933" s="11"/>
      <c r="D933" s="11"/>
      <c r="E933" s="8" t="str">
        <f aca="false">IF($A933="","",IF($B933&lt;PlanDate,"Late",""))</f>
        <v/>
      </c>
    </row>
    <row r="934" customFormat="false" ht="15" hidden="false" customHeight="false" outlineLevel="0" collapsed="false">
      <c r="A934" s="11"/>
      <c r="B934" s="6"/>
      <c r="C934" s="11"/>
      <c r="D934" s="11"/>
      <c r="E934" s="8" t="str">
        <f aca="false">IF($A934="","",IF($B934&lt;PlanDate,"Late",""))</f>
        <v/>
      </c>
    </row>
    <row r="935" customFormat="false" ht="15" hidden="false" customHeight="false" outlineLevel="0" collapsed="false">
      <c r="A935" s="11"/>
      <c r="B935" s="6"/>
      <c r="C935" s="11"/>
      <c r="D935" s="11"/>
      <c r="E935" s="8" t="str">
        <f aca="false">IF($A935="","",IF($B935&lt;PlanDate,"Late",""))</f>
        <v/>
      </c>
    </row>
    <row r="936" customFormat="false" ht="15" hidden="false" customHeight="false" outlineLevel="0" collapsed="false">
      <c r="A936" s="11"/>
      <c r="B936" s="6"/>
      <c r="C936" s="11"/>
      <c r="D936" s="11"/>
      <c r="E936" s="8" t="str">
        <f aca="false">IF($A936="","",IF($B936&lt;PlanDate,"Late",""))</f>
        <v/>
      </c>
    </row>
    <row r="937" customFormat="false" ht="15" hidden="false" customHeight="false" outlineLevel="0" collapsed="false">
      <c r="A937" s="11"/>
      <c r="B937" s="6"/>
      <c r="C937" s="11"/>
      <c r="D937" s="11"/>
      <c r="E937" s="8" t="str">
        <f aca="false">IF($A937="","",IF($B937&lt;PlanDate,"Late",""))</f>
        <v/>
      </c>
    </row>
    <row r="938" customFormat="false" ht="15" hidden="false" customHeight="false" outlineLevel="0" collapsed="false">
      <c r="A938" s="11"/>
      <c r="B938" s="6"/>
      <c r="C938" s="11"/>
      <c r="D938" s="11"/>
      <c r="E938" s="8" t="str">
        <f aca="false">IF($A938="","",IF($B938&lt;PlanDate,"Late",""))</f>
        <v/>
      </c>
    </row>
    <row r="939" customFormat="false" ht="15" hidden="false" customHeight="false" outlineLevel="0" collapsed="false">
      <c r="A939" s="11"/>
      <c r="B939" s="6"/>
      <c r="C939" s="11"/>
      <c r="D939" s="11"/>
      <c r="E939" s="8" t="str">
        <f aca="false">IF($A939="","",IF($B939&lt;PlanDate,"Late",""))</f>
        <v/>
      </c>
    </row>
    <row r="940" customFormat="false" ht="15" hidden="false" customHeight="false" outlineLevel="0" collapsed="false">
      <c r="A940" s="11"/>
      <c r="B940" s="6"/>
      <c r="C940" s="11"/>
      <c r="D940" s="11"/>
      <c r="E940" s="8" t="str">
        <f aca="false">IF($A940="","",IF($B940&lt;PlanDate,"Late",""))</f>
        <v/>
      </c>
    </row>
    <row r="941" customFormat="false" ht="15" hidden="false" customHeight="false" outlineLevel="0" collapsed="false">
      <c r="A941" s="11"/>
      <c r="B941" s="6"/>
      <c r="C941" s="11"/>
      <c r="D941" s="11"/>
      <c r="E941" s="8" t="str">
        <f aca="false">IF($A941="","",IF($B941&lt;PlanDate,"Late",""))</f>
        <v/>
      </c>
    </row>
    <row r="942" customFormat="false" ht="15" hidden="false" customHeight="false" outlineLevel="0" collapsed="false">
      <c r="A942" s="11"/>
      <c r="B942" s="6"/>
      <c r="C942" s="11"/>
      <c r="D942" s="11"/>
      <c r="E942" s="8" t="str">
        <f aca="false">IF($A942="","",IF($B942&lt;PlanDate,"Late",""))</f>
        <v/>
      </c>
    </row>
    <row r="943" customFormat="false" ht="15" hidden="false" customHeight="false" outlineLevel="0" collapsed="false">
      <c r="A943" s="11"/>
      <c r="B943" s="6"/>
      <c r="C943" s="11"/>
      <c r="D943" s="11"/>
      <c r="E943" s="8" t="str">
        <f aca="false">IF($A943="","",IF($B943&lt;PlanDate,"Late",""))</f>
        <v/>
      </c>
    </row>
    <row r="944" customFormat="false" ht="15" hidden="false" customHeight="false" outlineLevel="0" collapsed="false">
      <c r="A944" s="11"/>
      <c r="B944" s="6"/>
      <c r="C944" s="11"/>
      <c r="D944" s="11"/>
      <c r="E944" s="8" t="str">
        <f aca="false">IF($A944="","",IF($B944&lt;PlanDate,"Late",""))</f>
        <v/>
      </c>
    </row>
    <row r="945" customFormat="false" ht="15" hidden="false" customHeight="false" outlineLevel="0" collapsed="false">
      <c r="A945" s="11"/>
      <c r="B945" s="6"/>
      <c r="C945" s="11"/>
      <c r="D945" s="11"/>
      <c r="E945" s="8" t="str">
        <f aca="false">IF($A945="","",IF($B945&lt;PlanDate,"Late",""))</f>
        <v/>
      </c>
    </row>
    <row r="946" customFormat="false" ht="15" hidden="false" customHeight="false" outlineLevel="0" collapsed="false">
      <c r="A946" s="11"/>
      <c r="B946" s="6"/>
      <c r="C946" s="11"/>
      <c r="D946" s="11"/>
      <c r="E946" s="8" t="str">
        <f aca="false">IF($A946="","",IF($B946&lt;PlanDate,"Late",""))</f>
        <v/>
      </c>
    </row>
    <row r="947" customFormat="false" ht="15" hidden="false" customHeight="false" outlineLevel="0" collapsed="false">
      <c r="A947" s="11"/>
      <c r="B947" s="6"/>
      <c r="C947" s="11"/>
      <c r="D947" s="11"/>
      <c r="E947" s="8" t="str">
        <f aca="false">IF($A947="","",IF($B947&lt;PlanDate,"Late",""))</f>
        <v/>
      </c>
    </row>
    <row r="948" customFormat="false" ht="15" hidden="false" customHeight="false" outlineLevel="0" collapsed="false">
      <c r="A948" s="11"/>
      <c r="B948" s="6"/>
      <c r="C948" s="11"/>
      <c r="D948" s="11"/>
      <c r="E948" s="8" t="str">
        <f aca="false">IF($A948="","",IF($B948&lt;PlanDate,"Late",""))</f>
        <v/>
      </c>
    </row>
    <row r="949" customFormat="false" ht="15" hidden="false" customHeight="false" outlineLevel="0" collapsed="false">
      <c r="A949" s="11"/>
      <c r="B949" s="6"/>
      <c r="C949" s="11"/>
      <c r="D949" s="11"/>
      <c r="E949" s="8" t="str">
        <f aca="false">IF($A949="","",IF($B949&lt;PlanDate,"Late",""))</f>
        <v/>
      </c>
    </row>
    <row r="950" customFormat="false" ht="15" hidden="false" customHeight="false" outlineLevel="0" collapsed="false">
      <c r="A950" s="11"/>
      <c r="B950" s="6"/>
      <c r="C950" s="11"/>
      <c r="D950" s="11"/>
      <c r="E950" s="8" t="str">
        <f aca="false">IF($A950="","",IF($B950&lt;PlanDate,"Late",""))</f>
        <v/>
      </c>
    </row>
    <row r="951" customFormat="false" ht="15" hidden="false" customHeight="false" outlineLevel="0" collapsed="false">
      <c r="A951" s="11"/>
      <c r="B951" s="6"/>
      <c r="C951" s="11"/>
      <c r="D951" s="11"/>
      <c r="E951" s="8" t="str">
        <f aca="false">IF($A951="","",IF($B951&lt;PlanDate,"Late",""))</f>
        <v/>
      </c>
    </row>
    <row r="952" customFormat="false" ht="15" hidden="false" customHeight="false" outlineLevel="0" collapsed="false">
      <c r="A952" s="11"/>
      <c r="B952" s="6"/>
      <c r="C952" s="11"/>
      <c r="D952" s="11"/>
      <c r="E952" s="8" t="str">
        <f aca="false">IF($A952="","",IF($B952&lt;PlanDate,"Late",""))</f>
        <v/>
      </c>
    </row>
    <row r="953" customFormat="false" ht="15" hidden="false" customHeight="false" outlineLevel="0" collapsed="false">
      <c r="A953" s="11"/>
      <c r="B953" s="6"/>
      <c r="C953" s="11"/>
      <c r="D953" s="11"/>
      <c r="E953" s="8" t="str">
        <f aca="false">IF($A953="","",IF($B953&lt;PlanDate,"Late",""))</f>
        <v/>
      </c>
    </row>
    <row r="954" customFormat="false" ht="15" hidden="false" customHeight="false" outlineLevel="0" collapsed="false">
      <c r="A954" s="11"/>
      <c r="B954" s="6"/>
      <c r="C954" s="11"/>
      <c r="D954" s="11"/>
      <c r="E954" s="8" t="str">
        <f aca="false">IF($A954="","",IF($B954&lt;PlanDate,"Late",""))</f>
        <v/>
      </c>
    </row>
    <row r="955" customFormat="false" ht="15" hidden="false" customHeight="false" outlineLevel="0" collapsed="false">
      <c r="A955" s="11"/>
      <c r="B955" s="6"/>
      <c r="C955" s="11"/>
      <c r="D955" s="11"/>
      <c r="E955" s="8" t="str">
        <f aca="false">IF($A955="","",IF($B955&lt;PlanDate,"Late",""))</f>
        <v/>
      </c>
    </row>
    <row r="956" customFormat="false" ht="15" hidden="false" customHeight="false" outlineLevel="0" collapsed="false">
      <c r="A956" s="11"/>
      <c r="B956" s="6"/>
      <c r="C956" s="11"/>
      <c r="D956" s="11"/>
      <c r="E956" s="8" t="str">
        <f aca="false">IF($A956="","",IF($B956&lt;PlanDate,"Late",""))</f>
        <v/>
      </c>
    </row>
    <row r="957" customFormat="false" ht="15" hidden="false" customHeight="false" outlineLevel="0" collapsed="false">
      <c r="A957" s="11"/>
      <c r="B957" s="6"/>
      <c r="C957" s="11"/>
      <c r="D957" s="11"/>
      <c r="E957" s="8" t="str">
        <f aca="false">IF($A957="","",IF($B957&lt;PlanDate,"Late",""))</f>
        <v/>
      </c>
    </row>
    <row r="958" customFormat="false" ht="15" hidden="false" customHeight="false" outlineLevel="0" collapsed="false">
      <c r="A958" s="11"/>
      <c r="B958" s="6"/>
      <c r="C958" s="11"/>
      <c r="D958" s="11"/>
      <c r="E958" s="8" t="str">
        <f aca="false">IF($A958="","",IF($B958&lt;PlanDate,"Late",""))</f>
        <v/>
      </c>
    </row>
    <row r="959" customFormat="false" ht="15" hidden="false" customHeight="false" outlineLevel="0" collapsed="false">
      <c r="A959" s="11"/>
      <c r="B959" s="6"/>
      <c r="C959" s="11"/>
      <c r="D959" s="11"/>
      <c r="E959" s="8" t="str">
        <f aca="false">IF($A959="","",IF($B959&lt;PlanDate,"Late",""))</f>
        <v/>
      </c>
    </row>
    <row r="960" customFormat="false" ht="15" hidden="false" customHeight="false" outlineLevel="0" collapsed="false">
      <c r="A960" s="11"/>
      <c r="B960" s="6"/>
      <c r="C960" s="11"/>
      <c r="D960" s="11"/>
      <c r="E960" s="8" t="str">
        <f aca="false">IF($A960="","",IF($B960&lt;PlanDate,"Late",""))</f>
        <v/>
      </c>
    </row>
    <row r="961" customFormat="false" ht="15" hidden="false" customHeight="false" outlineLevel="0" collapsed="false">
      <c r="A961" s="11"/>
      <c r="B961" s="6"/>
      <c r="C961" s="11"/>
      <c r="D961" s="11"/>
      <c r="E961" s="8" t="str">
        <f aca="false">IF($A961="","",IF($B961&lt;PlanDate,"Late",""))</f>
        <v/>
      </c>
    </row>
    <row r="962" customFormat="false" ht="15" hidden="false" customHeight="false" outlineLevel="0" collapsed="false">
      <c r="A962" s="11"/>
      <c r="B962" s="6"/>
      <c r="C962" s="11"/>
      <c r="D962" s="11"/>
      <c r="E962" s="8" t="str">
        <f aca="false">IF($A962="","",IF($B962&lt;PlanDate,"Late",""))</f>
        <v/>
      </c>
    </row>
    <row r="963" customFormat="false" ht="15" hidden="false" customHeight="false" outlineLevel="0" collapsed="false">
      <c r="A963" s="11"/>
      <c r="B963" s="6"/>
      <c r="C963" s="11"/>
      <c r="D963" s="11"/>
      <c r="E963" s="8" t="str">
        <f aca="false">IF($A963="","",IF($B963&lt;PlanDate,"Late",""))</f>
        <v/>
      </c>
    </row>
    <row r="964" customFormat="false" ht="15" hidden="false" customHeight="false" outlineLevel="0" collapsed="false">
      <c r="A964" s="11"/>
      <c r="B964" s="6"/>
      <c r="C964" s="11"/>
      <c r="D964" s="11"/>
      <c r="E964" s="8" t="str">
        <f aca="false">IF($A964="","",IF($B964&lt;PlanDate,"Late",""))</f>
        <v/>
      </c>
    </row>
    <row r="965" customFormat="false" ht="15" hidden="false" customHeight="false" outlineLevel="0" collapsed="false">
      <c r="A965" s="11"/>
      <c r="B965" s="6"/>
      <c r="C965" s="11"/>
      <c r="D965" s="11"/>
      <c r="E965" s="8" t="str">
        <f aca="false">IF($A965="","",IF($B965&lt;PlanDate,"Late",""))</f>
        <v/>
      </c>
    </row>
    <row r="966" customFormat="false" ht="15" hidden="false" customHeight="false" outlineLevel="0" collapsed="false">
      <c r="A966" s="11"/>
      <c r="B966" s="6"/>
      <c r="C966" s="11"/>
      <c r="D966" s="11"/>
      <c r="E966" s="8" t="str">
        <f aca="false">IF($A966="","",IF($B966&lt;PlanDate,"Late",""))</f>
        <v/>
      </c>
    </row>
    <row r="967" customFormat="false" ht="15" hidden="false" customHeight="false" outlineLevel="0" collapsed="false">
      <c r="A967" s="11"/>
      <c r="B967" s="6"/>
      <c r="C967" s="11"/>
      <c r="D967" s="11"/>
      <c r="E967" s="8" t="str">
        <f aca="false">IF($A967="","",IF($B967&lt;PlanDate,"Late",""))</f>
        <v/>
      </c>
    </row>
    <row r="968" customFormat="false" ht="15" hidden="false" customHeight="false" outlineLevel="0" collapsed="false">
      <c r="A968" s="11"/>
      <c r="B968" s="6"/>
      <c r="C968" s="11"/>
      <c r="D968" s="11"/>
      <c r="E968" s="8" t="str">
        <f aca="false">IF($A968="","",IF($B968&lt;PlanDate,"Late",""))</f>
        <v/>
      </c>
    </row>
    <row r="969" customFormat="false" ht="15" hidden="false" customHeight="false" outlineLevel="0" collapsed="false">
      <c r="A969" s="11"/>
      <c r="B969" s="6"/>
      <c r="C969" s="11"/>
      <c r="D969" s="11"/>
      <c r="E969" s="8" t="str">
        <f aca="false">IF($A969="","",IF($B969&lt;PlanDate,"Late",""))</f>
        <v/>
      </c>
    </row>
    <row r="970" customFormat="false" ht="15" hidden="false" customHeight="false" outlineLevel="0" collapsed="false">
      <c r="A970" s="11"/>
      <c r="B970" s="6"/>
      <c r="C970" s="11"/>
      <c r="D970" s="11"/>
      <c r="E970" s="8" t="str">
        <f aca="false">IF($A970="","",IF($B970&lt;PlanDate,"Late",""))</f>
        <v/>
      </c>
    </row>
    <row r="971" customFormat="false" ht="15" hidden="false" customHeight="false" outlineLevel="0" collapsed="false">
      <c r="A971" s="11"/>
      <c r="B971" s="6"/>
      <c r="C971" s="11"/>
      <c r="D971" s="11"/>
      <c r="E971" s="8" t="str">
        <f aca="false">IF($A971="","",IF($B971&lt;PlanDate,"Late",""))</f>
        <v/>
      </c>
    </row>
    <row r="972" customFormat="false" ht="15" hidden="false" customHeight="false" outlineLevel="0" collapsed="false">
      <c r="A972" s="11"/>
      <c r="B972" s="6"/>
      <c r="C972" s="11"/>
      <c r="D972" s="11"/>
      <c r="E972" s="8" t="str">
        <f aca="false">IF($A972="","",IF($B972&lt;PlanDate,"Late",""))</f>
        <v/>
      </c>
    </row>
    <row r="973" customFormat="false" ht="15" hidden="false" customHeight="false" outlineLevel="0" collapsed="false">
      <c r="A973" s="11"/>
      <c r="B973" s="6"/>
      <c r="C973" s="11"/>
      <c r="D973" s="11"/>
      <c r="E973" s="8" t="str">
        <f aca="false">IF($A973="","",IF($B973&lt;PlanDate,"Late",""))</f>
        <v/>
      </c>
    </row>
    <row r="974" customFormat="false" ht="15" hidden="false" customHeight="false" outlineLevel="0" collapsed="false">
      <c r="A974" s="11"/>
      <c r="B974" s="6"/>
      <c r="C974" s="11"/>
      <c r="D974" s="11"/>
      <c r="E974" s="8" t="str">
        <f aca="false">IF($A974="","",IF($B974&lt;PlanDate,"Late",""))</f>
        <v/>
      </c>
    </row>
    <row r="975" customFormat="false" ht="15" hidden="false" customHeight="false" outlineLevel="0" collapsed="false">
      <c r="A975" s="11"/>
      <c r="B975" s="6"/>
      <c r="C975" s="11"/>
      <c r="D975" s="11"/>
      <c r="E975" s="8" t="str">
        <f aca="false">IF($A975="","",IF($B975&lt;PlanDate,"Late",""))</f>
        <v/>
      </c>
    </row>
    <row r="976" customFormat="false" ht="15" hidden="false" customHeight="false" outlineLevel="0" collapsed="false">
      <c r="A976" s="11"/>
      <c r="B976" s="6"/>
      <c r="C976" s="11"/>
      <c r="D976" s="11"/>
      <c r="E976" s="8" t="str">
        <f aca="false">IF($A976="","",IF($B976&lt;PlanDate,"Late",""))</f>
        <v/>
      </c>
    </row>
    <row r="977" customFormat="false" ht="15" hidden="false" customHeight="false" outlineLevel="0" collapsed="false">
      <c r="A977" s="11"/>
      <c r="B977" s="6"/>
      <c r="C977" s="11"/>
      <c r="D977" s="11"/>
      <c r="E977" s="8" t="str">
        <f aca="false">IF($A977="","",IF($B977&lt;PlanDate,"Late",""))</f>
        <v/>
      </c>
    </row>
    <row r="978" customFormat="false" ht="15" hidden="false" customHeight="false" outlineLevel="0" collapsed="false">
      <c r="A978" s="11"/>
      <c r="B978" s="6"/>
      <c r="C978" s="11"/>
      <c r="D978" s="11"/>
      <c r="E978" s="8" t="str">
        <f aca="false">IF($A978="","",IF($B978&lt;PlanDate,"Late",""))</f>
        <v/>
      </c>
    </row>
    <row r="979" customFormat="false" ht="15" hidden="false" customHeight="false" outlineLevel="0" collapsed="false">
      <c r="A979" s="11"/>
      <c r="B979" s="6"/>
      <c r="C979" s="11"/>
      <c r="D979" s="11"/>
      <c r="E979" s="8" t="str">
        <f aca="false">IF($A979="","",IF($B979&lt;PlanDate,"Late",""))</f>
        <v/>
      </c>
    </row>
    <row r="980" customFormat="false" ht="15" hidden="false" customHeight="false" outlineLevel="0" collapsed="false">
      <c r="A980" s="11"/>
      <c r="B980" s="6"/>
      <c r="C980" s="11"/>
      <c r="D980" s="11"/>
      <c r="E980" s="8" t="str">
        <f aca="false">IF($A980="","",IF($B980&lt;PlanDate,"Late",""))</f>
        <v/>
      </c>
    </row>
    <row r="981" customFormat="false" ht="15" hidden="false" customHeight="false" outlineLevel="0" collapsed="false">
      <c r="A981" s="11"/>
      <c r="B981" s="6"/>
      <c r="C981" s="11"/>
      <c r="D981" s="11"/>
      <c r="E981" s="8" t="str">
        <f aca="false">IF($A981="","",IF($B981&lt;PlanDate,"Late",""))</f>
        <v/>
      </c>
    </row>
    <row r="982" customFormat="false" ht="15" hidden="false" customHeight="false" outlineLevel="0" collapsed="false">
      <c r="A982" s="11"/>
      <c r="B982" s="6"/>
      <c r="C982" s="11"/>
      <c r="D982" s="11"/>
      <c r="E982" s="8" t="str">
        <f aca="false">IF($A982="","",IF($B982&lt;PlanDate,"Late",""))</f>
        <v/>
      </c>
    </row>
    <row r="983" customFormat="false" ht="15" hidden="false" customHeight="false" outlineLevel="0" collapsed="false">
      <c r="A983" s="11"/>
      <c r="B983" s="6"/>
      <c r="C983" s="11"/>
      <c r="D983" s="11"/>
      <c r="E983" s="8" t="str">
        <f aca="false">IF($A983="","",IF($B983&lt;PlanDate,"Late",""))</f>
        <v/>
      </c>
    </row>
    <row r="984" customFormat="false" ht="15" hidden="false" customHeight="false" outlineLevel="0" collapsed="false">
      <c r="A984" s="11"/>
      <c r="B984" s="6"/>
      <c r="C984" s="11"/>
      <c r="D984" s="11"/>
      <c r="E984" s="8" t="str">
        <f aca="false">IF($A984="","",IF($B984&lt;PlanDate,"Late",""))</f>
        <v/>
      </c>
    </row>
    <row r="985" customFormat="false" ht="15" hidden="false" customHeight="false" outlineLevel="0" collapsed="false">
      <c r="A985" s="11"/>
      <c r="B985" s="6"/>
      <c r="C985" s="11"/>
      <c r="D985" s="11"/>
      <c r="E985" s="8" t="str">
        <f aca="false">IF($A985="","",IF($B985&lt;PlanDate,"Late",""))</f>
        <v/>
      </c>
    </row>
    <row r="986" customFormat="false" ht="15" hidden="false" customHeight="false" outlineLevel="0" collapsed="false">
      <c r="A986" s="11"/>
      <c r="B986" s="6"/>
      <c r="C986" s="11"/>
      <c r="D986" s="11"/>
      <c r="E986" s="8" t="str">
        <f aca="false">IF($A986="","",IF($B986&lt;PlanDate,"Late",""))</f>
        <v/>
      </c>
    </row>
    <row r="987" customFormat="false" ht="15" hidden="false" customHeight="false" outlineLevel="0" collapsed="false">
      <c r="A987" s="11"/>
      <c r="B987" s="6"/>
      <c r="C987" s="11"/>
      <c r="D987" s="11"/>
      <c r="E987" s="8" t="str">
        <f aca="false">IF($A987="","",IF($B987&lt;PlanDate,"Late",""))</f>
        <v/>
      </c>
    </row>
    <row r="988" customFormat="false" ht="15" hidden="false" customHeight="false" outlineLevel="0" collapsed="false">
      <c r="A988" s="11"/>
      <c r="B988" s="6"/>
      <c r="C988" s="11"/>
      <c r="D988" s="11"/>
      <c r="E988" s="8" t="str">
        <f aca="false">IF($A988="","",IF($B988&lt;PlanDate,"Late",""))</f>
        <v/>
      </c>
    </row>
    <row r="989" customFormat="false" ht="15" hidden="false" customHeight="false" outlineLevel="0" collapsed="false">
      <c r="A989" s="11"/>
      <c r="B989" s="6"/>
      <c r="C989" s="11"/>
      <c r="D989" s="11"/>
      <c r="E989" s="8" t="str">
        <f aca="false">IF($A989="","",IF($B989&lt;PlanDate,"Late",""))</f>
        <v/>
      </c>
    </row>
    <row r="990" customFormat="false" ht="15" hidden="false" customHeight="false" outlineLevel="0" collapsed="false">
      <c r="A990" s="11"/>
      <c r="B990" s="6"/>
      <c r="C990" s="11"/>
      <c r="D990" s="11"/>
      <c r="E990" s="8" t="str">
        <f aca="false">IF($A990="","",IF($B990&lt;PlanDate,"Late",""))</f>
        <v/>
      </c>
    </row>
    <row r="991" customFormat="false" ht="15" hidden="false" customHeight="false" outlineLevel="0" collapsed="false">
      <c r="A991" s="11"/>
      <c r="B991" s="6"/>
      <c r="C991" s="11"/>
      <c r="D991" s="11"/>
      <c r="E991" s="8" t="str">
        <f aca="false">IF($A991="","",IF($B991&lt;PlanDate,"Late",""))</f>
        <v/>
      </c>
    </row>
    <row r="992" customFormat="false" ht="15" hidden="false" customHeight="false" outlineLevel="0" collapsed="false">
      <c r="A992" s="11"/>
      <c r="B992" s="6"/>
      <c r="C992" s="11"/>
      <c r="D992" s="11"/>
      <c r="E992" s="8" t="str">
        <f aca="false">IF($A992="","",IF($B992&lt;PlanDate,"Late",""))</f>
        <v/>
      </c>
    </row>
    <row r="993" customFormat="false" ht="15" hidden="false" customHeight="false" outlineLevel="0" collapsed="false">
      <c r="A993" s="11"/>
      <c r="B993" s="6"/>
      <c r="C993" s="11"/>
      <c r="D993" s="11"/>
      <c r="E993" s="8" t="str">
        <f aca="false">IF($A993="","",IF($B993&lt;PlanDate,"Late",""))</f>
        <v/>
      </c>
    </row>
    <row r="994" customFormat="false" ht="15" hidden="false" customHeight="false" outlineLevel="0" collapsed="false">
      <c r="A994" s="11"/>
      <c r="B994" s="6"/>
      <c r="C994" s="11"/>
      <c r="D994" s="11"/>
      <c r="E994" s="8" t="str">
        <f aca="false">IF($A994="","",IF($B994&lt;PlanDate,"Late",""))</f>
        <v/>
      </c>
    </row>
    <row r="995" customFormat="false" ht="15" hidden="false" customHeight="false" outlineLevel="0" collapsed="false">
      <c r="A995" s="11"/>
      <c r="B995" s="6"/>
      <c r="C995" s="11"/>
      <c r="D995" s="11"/>
      <c r="E995" s="8" t="str">
        <f aca="false">IF($A995="","",IF($B995&lt;PlanDate,"Late",""))</f>
        <v/>
      </c>
    </row>
    <row r="996" customFormat="false" ht="15" hidden="false" customHeight="false" outlineLevel="0" collapsed="false">
      <c r="A996" s="11"/>
      <c r="B996" s="6"/>
      <c r="C996" s="11"/>
      <c r="D996" s="11"/>
      <c r="E996" s="8" t="str">
        <f aca="false">IF($A996="","",IF($B996&lt;PlanDate,"Late",""))</f>
        <v/>
      </c>
    </row>
    <row r="997" customFormat="false" ht="15" hidden="false" customHeight="false" outlineLevel="0" collapsed="false">
      <c r="A997" s="11"/>
      <c r="B997" s="6"/>
      <c r="C997" s="11"/>
      <c r="D997" s="11"/>
      <c r="E997" s="8" t="str">
        <f aca="false">IF($A997="","",IF($B997&lt;PlanDate,"Late",""))</f>
        <v/>
      </c>
    </row>
    <row r="998" customFormat="false" ht="15" hidden="false" customHeight="false" outlineLevel="0" collapsed="false">
      <c r="A998" s="11"/>
      <c r="B998" s="6"/>
      <c r="C998" s="11"/>
      <c r="D998" s="11"/>
      <c r="E998" s="8" t="str">
        <f aca="false">IF($A998="","",IF($B998&lt;PlanDate,"Late",""))</f>
        <v/>
      </c>
    </row>
    <row r="999" customFormat="false" ht="15" hidden="false" customHeight="false" outlineLevel="0" collapsed="false">
      <c r="A999" s="11"/>
      <c r="B999" s="6"/>
      <c r="C999" s="11"/>
      <c r="D999" s="11"/>
      <c r="E999" s="8" t="str">
        <f aca="false">IF($A999="","",IF($B999&lt;PlanDate,"Late",""))</f>
        <v/>
      </c>
    </row>
    <row r="1000" customFormat="false" ht="15" hidden="false" customHeight="false" outlineLevel="0" collapsed="false">
      <c r="A1000" s="11"/>
      <c r="B1000" s="6"/>
      <c r="C1000" s="11"/>
      <c r="D1000" s="11"/>
      <c r="E1000" s="8" t="str">
        <f aca="false">IF($A1000="","",IF($B1000&lt;PlanDate,"Late",""))</f>
        <v/>
      </c>
    </row>
    <row r="1001" customFormat="false" ht="15" hidden="false" customHeight="false" outlineLevel="0" collapsed="false">
      <c r="A1001" s="11"/>
      <c r="B1001" s="6"/>
      <c r="C1001" s="11"/>
      <c r="D1001" s="11"/>
      <c r="E1001" s="8" t="str">
        <f aca="false">IF($A1001="","",IF($B1001&lt;PlanDate,"Late",""))</f>
        <v/>
      </c>
    </row>
    <row r="1002" customFormat="false" ht="15" hidden="false" customHeight="false" outlineLevel="0" collapsed="false">
      <c r="A1002" s="11"/>
      <c r="B1002" s="6"/>
      <c r="C1002" s="11"/>
      <c r="D1002" s="11"/>
      <c r="E1002" s="8" t="str">
        <f aca="false">IF($A1002="","",IF($B1002&lt;PlanDate,"Late",""))</f>
        <v/>
      </c>
    </row>
    <row r="1003" customFormat="false" ht="15" hidden="false" customHeight="false" outlineLevel="0" collapsed="false">
      <c r="A1003" s="11"/>
      <c r="B1003" s="6"/>
      <c r="C1003" s="11"/>
      <c r="D1003" s="11"/>
      <c r="E1003" s="8" t="str">
        <f aca="false">IF($A1003="","",IF($B1003&lt;PlanDate,"Late",""))</f>
        <v/>
      </c>
    </row>
    <row r="1004" customFormat="false" ht="15" hidden="false" customHeight="false" outlineLevel="0" collapsed="false">
      <c r="A1004" s="11"/>
      <c r="B1004" s="6"/>
      <c r="C1004" s="11"/>
      <c r="D1004" s="11"/>
      <c r="E1004" s="8" t="str">
        <f aca="false">IF($A1004="","",IF($B1004&lt;PlanDate,"Late",""))</f>
        <v/>
      </c>
    </row>
    <row r="1005" customFormat="false" ht="15" hidden="false" customHeight="false" outlineLevel="0" collapsed="false">
      <c r="A1005" s="11"/>
      <c r="B1005" s="6"/>
      <c r="C1005" s="11"/>
      <c r="D1005" s="11"/>
      <c r="E1005" s="8" t="str">
        <f aca="false">IF($A1005="","",IF($B1005&lt;PlanDate,"Late",""))</f>
        <v/>
      </c>
    </row>
    <row r="1006" customFormat="false" ht="15" hidden="false" customHeight="false" outlineLevel="0" collapsed="false">
      <c r="A1006" s="11"/>
      <c r="B1006" s="6"/>
      <c r="C1006" s="11"/>
      <c r="D1006" s="11"/>
      <c r="E1006" s="8" t="str">
        <f aca="false">IF($A1006="","",IF($B1006&lt;PlanDate,"Late",""))</f>
        <v/>
      </c>
    </row>
    <row r="1007" customFormat="false" ht="15" hidden="false" customHeight="false" outlineLevel="0" collapsed="false">
      <c r="A1007" s="11"/>
      <c r="B1007" s="6"/>
      <c r="C1007" s="11"/>
      <c r="D1007" s="11"/>
      <c r="E1007" s="8" t="str">
        <f aca="false">IF($A1007="","",IF($B1007&lt;PlanDate,"Late",""))</f>
        <v/>
      </c>
    </row>
    <row r="1008" customFormat="false" ht="15" hidden="false" customHeight="false" outlineLevel="0" collapsed="false">
      <c r="A1008" s="11"/>
      <c r="B1008" s="6"/>
      <c r="C1008" s="11"/>
      <c r="D1008" s="11"/>
      <c r="E1008" s="8" t="str">
        <f aca="false">IF($A1008="","",IF($B1008&lt;PlanDate,"Late",""))</f>
        <v/>
      </c>
    </row>
    <row r="1009" customFormat="false" ht="15" hidden="false" customHeight="false" outlineLevel="0" collapsed="false">
      <c r="A1009" s="11"/>
      <c r="B1009" s="6"/>
      <c r="C1009" s="11"/>
      <c r="D1009" s="11"/>
      <c r="E1009" s="8" t="str">
        <f aca="false">IF($A1009="","",IF($B1009&lt;PlanDate,"Late",""))</f>
        <v/>
      </c>
    </row>
    <row r="1010" customFormat="false" ht="15" hidden="false" customHeight="false" outlineLevel="0" collapsed="false">
      <c r="A1010" s="11"/>
      <c r="B1010" s="6"/>
      <c r="C1010" s="11"/>
      <c r="D1010" s="11"/>
      <c r="E1010" s="8" t="str">
        <f aca="false">IF($A1010="","",IF($B1010&lt;PlanDate,"Late",""))</f>
        <v/>
      </c>
    </row>
    <row r="1011" customFormat="false" ht="15" hidden="false" customHeight="false" outlineLevel="0" collapsed="false">
      <c r="A1011" s="11"/>
      <c r="B1011" s="6"/>
      <c r="C1011" s="11"/>
      <c r="D1011" s="11"/>
      <c r="E1011" s="8" t="str">
        <f aca="false">IF($A1011="","",IF($B1011&lt;PlanDate,"Late",""))</f>
        <v/>
      </c>
    </row>
    <row r="1012" customFormat="false" ht="15" hidden="false" customHeight="false" outlineLevel="0" collapsed="false">
      <c r="A1012" s="11"/>
      <c r="B1012" s="6"/>
      <c r="C1012" s="11"/>
      <c r="D1012" s="11"/>
      <c r="E1012" s="8" t="str">
        <f aca="false">IF($A1012="","",IF($B1012&lt;PlanDate,"Late",""))</f>
        <v/>
      </c>
    </row>
    <row r="1013" customFormat="false" ht="15" hidden="false" customHeight="false" outlineLevel="0" collapsed="false">
      <c r="A1013" s="11"/>
      <c r="B1013" s="6"/>
      <c r="C1013" s="11"/>
      <c r="D1013" s="11"/>
      <c r="E1013" s="8" t="str">
        <f aca="false">IF($A1013="","",IF($B1013&lt;PlanDate,"Late",""))</f>
        <v/>
      </c>
    </row>
    <row r="1014" customFormat="false" ht="15" hidden="false" customHeight="false" outlineLevel="0" collapsed="false">
      <c r="A1014" s="11"/>
      <c r="B1014" s="6"/>
      <c r="C1014" s="11"/>
      <c r="D1014" s="11"/>
      <c r="E1014" s="8" t="str">
        <f aca="false">IF($A1014="","",IF($B1014&lt;PlanDate,"Late",""))</f>
        <v/>
      </c>
    </row>
    <row r="1015" customFormat="false" ht="15" hidden="false" customHeight="false" outlineLevel="0" collapsed="false">
      <c r="A1015" s="11"/>
      <c r="B1015" s="6"/>
      <c r="C1015" s="11"/>
      <c r="D1015" s="11"/>
      <c r="E1015" s="8" t="str">
        <f aca="false">IF($A1015="","",IF($B1015&lt;PlanDate,"Late",""))</f>
        <v/>
      </c>
    </row>
    <row r="1016" customFormat="false" ht="15" hidden="false" customHeight="false" outlineLevel="0" collapsed="false">
      <c r="A1016" s="11"/>
      <c r="B1016" s="6"/>
      <c r="C1016" s="11"/>
      <c r="D1016" s="11"/>
      <c r="E1016" s="8" t="str">
        <f aca="false">IF($A1016="","",IF($B1016&lt;PlanDate,"Late",""))</f>
        <v/>
      </c>
    </row>
    <row r="1017" customFormat="false" ht="15" hidden="false" customHeight="false" outlineLevel="0" collapsed="false">
      <c r="A1017" s="11"/>
      <c r="B1017" s="6"/>
      <c r="C1017" s="11"/>
      <c r="D1017" s="11"/>
      <c r="E1017" s="8" t="str">
        <f aca="false">IF($A1017="","",IF($B1017&lt;PlanDate,"Late",""))</f>
        <v/>
      </c>
    </row>
    <row r="1018" customFormat="false" ht="15" hidden="false" customHeight="false" outlineLevel="0" collapsed="false">
      <c r="A1018" s="11"/>
      <c r="B1018" s="6"/>
      <c r="C1018" s="11"/>
      <c r="D1018" s="11"/>
      <c r="E1018" s="8" t="str">
        <f aca="false">IF($A1018="","",IF($B1018&lt;PlanDate,"Late",""))</f>
        <v/>
      </c>
    </row>
    <row r="1019" customFormat="false" ht="15" hidden="false" customHeight="false" outlineLevel="0" collapsed="false">
      <c r="A1019" s="11"/>
      <c r="B1019" s="6"/>
      <c r="C1019" s="11"/>
      <c r="D1019" s="11"/>
      <c r="E1019" s="8" t="str">
        <f aca="false">IF($A1019="","",IF($B1019&lt;PlanDate,"Late",""))</f>
        <v/>
      </c>
    </row>
    <row r="1020" customFormat="false" ht="15" hidden="false" customHeight="false" outlineLevel="0" collapsed="false">
      <c r="A1020" s="11"/>
      <c r="B1020" s="6"/>
      <c r="C1020" s="11"/>
      <c r="D1020" s="11"/>
      <c r="E1020" s="8" t="str">
        <f aca="false">IF($A1020="","",IF($B1020&lt;PlanDate,"Late",""))</f>
        <v/>
      </c>
    </row>
    <row r="1021" customFormat="false" ht="15" hidden="false" customHeight="false" outlineLevel="0" collapsed="false">
      <c r="A1021" s="11"/>
      <c r="B1021" s="6"/>
      <c r="C1021" s="11"/>
      <c r="D1021" s="11"/>
      <c r="E1021" s="8" t="str">
        <f aca="false">IF($A1021="","",IF($B1021&lt;PlanDate,"Late",""))</f>
        <v/>
      </c>
    </row>
    <row r="1022" customFormat="false" ht="15" hidden="false" customHeight="false" outlineLevel="0" collapsed="false">
      <c r="A1022" s="11"/>
      <c r="B1022" s="6"/>
      <c r="C1022" s="11"/>
      <c r="D1022" s="11"/>
      <c r="E1022" s="8" t="str">
        <f aca="false">IF($A1022="","",IF($B1022&lt;PlanDate,"Late",""))</f>
        <v/>
      </c>
    </row>
    <row r="1023" customFormat="false" ht="15" hidden="false" customHeight="false" outlineLevel="0" collapsed="false">
      <c r="A1023" s="11"/>
      <c r="B1023" s="6"/>
      <c r="C1023" s="11"/>
      <c r="D1023" s="11"/>
      <c r="E1023" s="8" t="str">
        <f aca="false">IF($A1023="","",IF($B1023&lt;PlanDate,"Late",""))</f>
        <v/>
      </c>
    </row>
    <row r="1024" customFormat="false" ht="15" hidden="false" customHeight="false" outlineLevel="0" collapsed="false">
      <c r="A1024" s="11"/>
      <c r="B1024" s="6"/>
      <c r="C1024" s="11"/>
      <c r="D1024" s="11"/>
      <c r="E1024" s="8" t="str">
        <f aca="false">IF($A1024="","",IF($B1024&lt;PlanDate,"Late",""))</f>
        <v/>
      </c>
    </row>
    <row r="1025" customFormat="false" ht="15" hidden="false" customHeight="false" outlineLevel="0" collapsed="false">
      <c r="A1025" s="11"/>
      <c r="B1025" s="6"/>
      <c r="C1025" s="11"/>
      <c r="D1025" s="11"/>
      <c r="E1025" s="8" t="str">
        <f aca="false">IF($A1025="","",IF($B1025&lt;PlanDate,"Late",""))</f>
        <v/>
      </c>
    </row>
    <row r="1026" customFormat="false" ht="15" hidden="false" customHeight="false" outlineLevel="0" collapsed="false">
      <c r="A1026" s="11"/>
      <c r="B1026" s="6"/>
      <c r="C1026" s="11"/>
      <c r="D1026" s="11"/>
      <c r="E1026" s="8" t="str">
        <f aca="false">IF($A1026="","",IF($B1026&lt;PlanDate,"Late",""))</f>
        <v/>
      </c>
    </row>
    <row r="1027" customFormat="false" ht="15" hidden="false" customHeight="false" outlineLevel="0" collapsed="false">
      <c r="A1027" s="11"/>
      <c r="B1027" s="6"/>
      <c r="C1027" s="11"/>
      <c r="D1027" s="11"/>
      <c r="E1027" s="8" t="str">
        <f aca="false">IF($A1027="","",IF($B1027&lt;PlanDate,"Late",""))</f>
        <v/>
      </c>
    </row>
    <row r="1028" customFormat="false" ht="15" hidden="false" customHeight="false" outlineLevel="0" collapsed="false">
      <c r="A1028" s="11"/>
      <c r="B1028" s="6"/>
      <c r="C1028" s="11"/>
      <c r="D1028" s="11"/>
      <c r="E1028" s="8" t="str">
        <f aca="false">IF($A1028="","",IF($B1028&lt;PlanDate,"Late",""))</f>
        <v/>
      </c>
    </row>
    <row r="1029" customFormat="false" ht="15" hidden="false" customHeight="false" outlineLevel="0" collapsed="false">
      <c r="A1029" s="11"/>
      <c r="B1029" s="6"/>
      <c r="C1029" s="11"/>
      <c r="D1029" s="11"/>
      <c r="E1029" s="8" t="str">
        <f aca="false">IF($A1029="","",IF($B1029&lt;PlanDate,"Late",""))</f>
        <v/>
      </c>
    </row>
    <row r="1030" customFormat="false" ht="15" hidden="false" customHeight="false" outlineLevel="0" collapsed="false">
      <c r="A1030" s="11"/>
      <c r="B1030" s="6"/>
      <c r="C1030" s="11"/>
      <c r="D1030" s="11"/>
      <c r="E1030" s="8" t="str">
        <f aca="false">IF($A1030="","",IF($B1030&lt;PlanDate,"Late",""))</f>
        <v/>
      </c>
    </row>
    <row r="1031" customFormat="false" ht="15" hidden="false" customHeight="false" outlineLevel="0" collapsed="false">
      <c r="A1031" s="11"/>
      <c r="B1031" s="6"/>
      <c r="C1031" s="11"/>
      <c r="D1031" s="11"/>
      <c r="E1031" s="8" t="str">
        <f aca="false">IF($A1031="","",IF($B1031&lt;PlanDate,"Late",""))</f>
        <v/>
      </c>
    </row>
    <row r="1032" customFormat="false" ht="15" hidden="false" customHeight="false" outlineLevel="0" collapsed="false">
      <c r="A1032" s="11"/>
      <c r="B1032" s="6"/>
      <c r="C1032" s="11"/>
      <c r="D1032" s="11"/>
      <c r="E1032" s="8" t="str">
        <f aca="false">IF($A1032="","",IF($B1032&lt;PlanDate,"Late",""))</f>
        <v/>
      </c>
    </row>
    <row r="1033" customFormat="false" ht="15" hidden="false" customHeight="false" outlineLevel="0" collapsed="false">
      <c r="A1033" s="11"/>
      <c r="B1033" s="6"/>
      <c r="C1033" s="11"/>
      <c r="D1033" s="11"/>
      <c r="E1033" s="8" t="str">
        <f aca="false">IF($A1033="","",IF($B1033&lt;PlanDate,"Late",""))</f>
        <v/>
      </c>
    </row>
    <row r="1034" customFormat="false" ht="15" hidden="false" customHeight="false" outlineLevel="0" collapsed="false">
      <c r="A1034" s="11"/>
      <c r="B1034" s="6"/>
      <c r="C1034" s="11"/>
      <c r="D1034" s="11"/>
      <c r="E1034" s="8" t="str">
        <f aca="false">IF($A1034="","",IF($B1034&lt;PlanDate,"Late",""))</f>
        <v/>
      </c>
    </row>
    <row r="1035" customFormat="false" ht="15" hidden="false" customHeight="false" outlineLevel="0" collapsed="false">
      <c r="A1035" s="11"/>
      <c r="B1035" s="6"/>
      <c r="C1035" s="11"/>
      <c r="D1035" s="11"/>
      <c r="E1035" s="8" t="str">
        <f aca="false">IF($A1035="","",IF($B1035&lt;PlanDate,"Late",""))</f>
        <v/>
      </c>
    </row>
    <row r="1036" customFormat="false" ht="15" hidden="false" customHeight="false" outlineLevel="0" collapsed="false">
      <c r="A1036" s="11"/>
      <c r="B1036" s="6"/>
      <c r="C1036" s="11"/>
      <c r="D1036" s="11"/>
      <c r="E1036" s="8" t="str">
        <f aca="false">IF($A1036="","",IF($B1036&lt;PlanDate,"Late",""))</f>
        <v/>
      </c>
    </row>
    <row r="1037" customFormat="false" ht="15" hidden="false" customHeight="false" outlineLevel="0" collapsed="false">
      <c r="A1037" s="11"/>
      <c r="B1037" s="6"/>
      <c r="C1037" s="11"/>
      <c r="D1037" s="11"/>
      <c r="E1037" s="8" t="str">
        <f aca="false">IF($A1037="","",IF($B1037&lt;PlanDate,"Late",""))</f>
        <v/>
      </c>
    </row>
    <row r="1038" customFormat="false" ht="15" hidden="false" customHeight="false" outlineLevel="0" collapsed="false">
      <c r="A1038" s="11"/>
      <c r="B1038" s="6"/>
      <c r="C1038" s="11"/>
      <c r="D1038" s="11"/>
      <c r="E1038" s="8" t="str">
        <f aca="false">IF($A1038="","",IF($B1038&lt;PlanDate,"Late",""))</f>
        <v/>
      </c>
    </row>
    <row r="1039" customFormat="false" ht="15" hidden="false" customHeight="false" outlineLevel="0" collapsed="false">
      <c r="A1039" s="11"/>
      <c r="B1039" s="6"/>
      <c r="C1039" s="11"/>
      <c r="D1039" s="11"/>
      <c r="E1039" s="8" t="str">
        <f aca="false">IF($A1039="","",IF($B1039&lt;PlanDate,"Late",""))</f>
        <v/>
      </c>
    </row>
    <row r="1040" customFormat="false" ht="15" hidden="false" customHeight="false" outlineLevel="0" collapsed="false">
      <c r="A1040" s="11"/>
      <c r="B1040" s="6"/>
      <c r="C1040" s="11"/>
      <c r="D1040" s="11"/>
      <c r="E1040" s="8" t="str">
        <f aca="false">IF($A1040="","",IF($B1040&lt;PlanDate,"Late",""))</f>
        <v/>
      </c>
    </row>
    <row r="1041" customFormat="false" ht="15" hidden="false" customHeight="false" outlineLevel="0" collapsed="false">
      <c r="A1041" s="11"/>
      <c r="B1041" s="6"/>
      <c r="C1041" s="11"/>
      <c r="D1041" s="11"/>
      <c r="E1041" s="8" t="str">
        <f aca="false">IF($A1041="","",IF($B1041&lt;PlanDate,"Late",""))</f>
        <v/>
      </c>
    </row>
    <row r="1042" customFormat="false" ht="15" hidden="false" customHeight="false" outlineLevel="0" collapsed="false">
      <c r="A1042" s="11"/>
      <c r="B1042" s="6"/>
      <c r="C1042" s="11"/>
      <c r="D1042" s="11"/>
      <c r="E1042" s="8" t="str">
        <f aca="false">IF($A1042="","",IF($B1042&lt;PlanDate,"Late",""))</f>
        <v/>
      </c>
    </row>
    <row r="1043" customFormat="false" ht="15" hidden="false" customHeight="false" outlineLevel="0" collapsed="false">
      <c r="A1043" s="11"/>
      <c r="B1043" s="6"/>
      <c r="C1043" s="11"/>
      <c r="D1043" s="11"/>
      <c r="E1043" s="8" t="str">
        <f aca="false">IF($A1043="","",IF($B1043&lt;PlanDate,"Late",""))</f>
        <v/>
      </c>
    </row>
    <row r="1044" customFormat="false" ht="15" hidden="false" customHeight="false" outlineLevel="0" collapsed="false">
      <c r="A1044" s="11"/>
      <c r="B1044" s="6"/>
      <c r="C1044" s="11"/>
      <c r="D1044" s="11"/>
      <c r="E1044" s="8" t="str">
        <f aca="false">IF($A1044="","",IF($B1044&lt;PlanDate,"Late",""))</f>
        <v/>
      </c>
    </row>
    <row r="1045" customFormat="false" ht="15" hidden="false" customHeight="false" outlineLevel="0" collapsed="false">
      <c r="A1045" s="11"/>
      <c r="B1045" s="6"/>
      <c r="C1045" s="11"/>
      <c r="D1045" s="11"/>
      <c r="E1045" s="8" t="str">
        <f aca="false">IF($A1045="","",IF($B1045&lt;PlanDate,"Late",""))</f>
        <v/>
      </c>
    </row>
    <row r="1046" customFormat="false" ht="15" hidden="false" customHeight="false" outlineLevel="0" collapsed="false">
      <c r="A1046" s="11"/>
      <c r="B1046" s="6"/>
      <c r="C1046" s="11"/>
      <c r="D1046" s="11"/>
      <c r="E1046" s="8" t="str">
        <f aca="false">IF($A1046="","",IF($B1046&lt;PlanDate,"Late",""))</f>
        <v/>
      </c>
    </row>
    <row r="1047" customFormat="false" ht="15" hidden="false" customHeight="false" outlineLevel="0" collapsed="false">
      <c r="A1047" s="11"/>
      <c r="B1047" s="6"/>
      <c r="C1047" s="11"/>
      <c r="D1047" s="11"/>
      <c r="E1047" s="8" t="str">
        <f aca="false">IF($A1047="","",IF($B1047&lt;PlanDate,"Late",""))</f>
        <v/>
      </c>
    </row>
    <row r="1048" customFormat="false" ht="15" hidden="false" customHeight="false" outlineLevel="0" collapsed="false">
      <c r="A1048" s="11"/>
      <c r="B1048" s="6"/>
      <c r="C1048" s="11"/>
      <c r="D1048" s="11"/>
      <c r="E1048" s="8" t="str">
        <f aca="false">IF($A1048="","",IF($B1048&lt;PlanDate,"Late",""))</f>
        <v/>
      </c>
    </row>
    <row r="1049" customFormat="false" ht="15" hidden="false" customHeight="false" outlineLevel="0" collapsed="false">
      <c r="A1049" s="11"/>
      <c r="B1049" s="6"/>
      <c r="C1049" s="11"/>
      <c r="D1049" s="11"/>
      <c r="E1049" s="8" t="str">
        <f aca="false">IF($A1049="","",IF($B1049&lt;PlanDate,"Late",""))</f>
        <v/>
      </c>
    </row>
    <row r="1050" customFormat="false" ht="15" hidden="false" customHeight="false" outlineLevel="0" collapsed="false">
      <c r="A1050" s="11"/>
      <c r="B1050" s="6"/>
      <c r="C1050" s="11"/>
      <c r="D1050" s="11"/>
      <c r="E1050" s="8" t="str">
        <f aca="false">IF($A1050="","",IF($B1050&lt;PlanDate,"Late",""))</f>
        <v/>
      </c>
    </row>
    <row r="1051" customFormat="false" ht="15" hidden="false" customHeight="false" outlineLevel="0" collapsed="false">
      <c r="A1051" s="11"/>
      <c r="B1051" s="6"/>
      <c r="C1051" s="11"/>
      <c r="D1051" s="11"/>
      <c r="E1051" s="8" t="str">
        <f aca="false">IF($A1051="","",IF($B1051&lt;PlanDate,"Late",""))</f>
        <v/>
      </c>
    </row>
    <row r="1052" customFormat="false" ht="15" hidden="false" customHeight="false" outlineLevel="0" collapsed="false">
      <c r="A1052" s="11"/>
      <c r="B1052" s="6"/>
      <c r="C1052" s="11"/>
      <c r="D1052" s="11"/>
      <c r="E1052" s="8" t="str">
        <f aca="false">IF($A1052="","",IF($B1052&lt;PlanDate,"Late",""))</f>
        <v/>
      </c>
    </row>
    <row r="1053" customFormat="false" ht="15" hidden="false" customHeight="false" outlineLevel="0" collapsed="false">
      <c r="A1053" s="11"/>
      <c r="B1053" s="6"/>
      <c r="C1053" s="11"/>
      <c r="D1053" s="11"/>
      <c r="E1053" s="8" t="str">
        <f aca="false">IF($A1053="","",IF($B1053&lt;PlanDate,"Late",""))</f>
        <v/>
      </c>
    </row>
    <row r="1054" customFormat="false" ht="15" hidden="false" customHeight="false" outlineLevel="0" collapsed="false">
      <c r="A1054" s="11"/>
      <c r="B1054" s="6"/>
      <c r="C1054" s="11"/>
      <c r="D1054" s="11"/>
      <c r="E1054" s="8" t="str">
        <f aca="false">IF($A1054="","",IF($B1054&lt;PlanDate,"Late",""))</f>
        <v/>
      </c>
    </row>
    <row r="1055" customFormat="false" ht="15" hidden="false" customHeight="false" outlineLevel="0" collapsed="false">
      <c r="A1055" s="11"/>
      <c r="B1055" s="6"/>
      <c r="C1055" s="11"/>
      <c r="D1055" s="11"/>
      <c r="E1055" s="8" t="str">
        <f aca="false">IF($A1055="","",IF($B1055&lt;PlanDate,"Late",""))</f>
        <v/>
      </c>
    </row>
    <row r="1056" customFormat="false" ht="15" hidden="false" customHeight="false" outlineLevel="0" collapsed="false">
      <c r="A1056" s="11"/>
      <c r="B1056" s="6"/>
      <c r="C1056" s="11"/>
      <c r="D1056" s="11"/>
      <c r="E1056" s="8" t="str">
        <f aca="false">IF($A1056="","",IF($B1056&lt;PlanDate,"Late",""))</f>
        <v/>
      </c>
    </row>
    <row r="1057" customFormat="false" ht="15" hidden="false" customHeight="false" outlineLevel="0" collapsed="false">
      <c r="A1057" s="11"/>
      <c r="B1057" s="6"/>
      <c r="C1057" s="11"/>
      <c r="D1057" s="11"/>
      <c r="E1057" s="8" t="str">
        <f aca="false">IF($A1057="","",IF($B1057&lt;PlanDate,"Late",""))</f>
        <v/>
      </c>
    </row>
    <row r="1058" customFormat="false" ht="15" hidden="false" customHeight="false" outlineLevel="0" collapsed="false">
      <c r="A1058" s="11"/>
      <c r="B1058" s="6"/>
      <c r="C1058" s="11"/>
      <c r="D1058" s="11"/>
      <c r="E1058" s="8" t="str">
        <f aca="false">IF($A1058="","",IF($B1058&lt;PlanDate,"Late",""))</f>
        <v/>
      </c>
    </row>
    <row r="1059" customFormat="false" ht="15" hidden="false" customHeight="false" outlineLevel="0" collapsed="false">
      <c r="A1059" s="11"/>
      <c r="B1059" s="6"/>
      <c r="C1059" s="11"/>
      <c r="D1059" s="11"/>
      <c r="E1059" s="8" t="str">
        <f aca="false">IF($A1059="","",IF($B1059&lt;PlanDate,"Late",""))</f>
        <v/>
      </c>
    </row>
    <row r="1060" customFormat="false" ht="15" hidden="false" customHeight="false" outlineLevel="0" collapsed="false">
      <c r="A1060" s="11"/>
      <c r="B1060" s="6"/>
      <c r="C1060" s="11"/>
      <c r="D1060" s="11"/>
      <c r="E1060" s="8" t="str">
        <f aca="false">IF($A1060="","",IF($B1060&lt;PlanDate,"Late",""))</f>
        <v/>
      </c>
    </row>
    <row r="1061" customFormat="false" ht="15" hidden="false" customHeight="false" outlineLevel="0" collapsed="false">
      <c r="A1061" s="11"/>
      <c r="B1061" s="6"/>
      <c r="C1061" s="11"/>
      <c r="D1061" s="11"/>
      <c r="E1061" s="8" t="str">
        <f aca="false">IF($A1061="","",IF($B1061&lt;PlanDate,"Late",""))</f>
        <v/>
      </c>
    </row>
    <row r="1062" customFormat="false" ht="15" hidden="false" customHeight="false" outlineLevel="0" collapsed="false">
      <c r="A1062" s="11"/>
      <c r="B1062" s="6"/>
      <c r="C1062" s="11"/>
      <c r="D1062" s="11"/>
      <c r="E1062" s="8" t="str">
        <f aca="false">IF($A1062="","",IF($B1062&lt;PlanDate,"Late",""))</f>
        <v/>
      </c>
    </row>
    <row r="1063" customFormat="false" ht="15" hidden="false" customHeight="false" outlineLevel="0" collapsed="false">
      <c r="A1063" s="11"/>
      <c r="B1063" s="6"/>
      <c r="C1063" s="11"/>
      <c r="D1063" s="11"/>
      <c r="E1063" s="8" t="str">
        <f aca="false">IF($A1063="","",IF($B1063&lt;PlanDate,"Late",""))</f>
        <v/>
      </c>
    </row>
    <row r="1064" customFormat="false" ht="15" hidden="false" customHeight="false" outlineLevel="0" collapsed="false">
      <c r="A1064" s="11"/>
      <c r="B1064" s="6"/>
      <c r="C1064" s="11"/>
      <c r="D1064" s="11"/>
      <c r="E1064" s="8" t="str">
        <f aca="false">IF($A1064="","",IF($B1064&lt;PlanDate,"Late",""))</f>
        <v/>
      </c>
    </row>
    <row r="1065" customFormat="false" ht="15" hidden="false" customHeight="false" outlineLevel="0" collapsed="false">
      <c r="A1065" s="11"/>
      <c r="B1065" s="6"/>
      <c r="C1065" s="11"/>
      <c r="D1065" s="11"/>
      <c r="E1065" s="8" t="str">
        <f aca="false">IF($A1065="","",IF($B1065&lt;PlanDate,"Late",""))</f>
        <v/>
      </c>
    </row>
    <row r="1066" customFormat="false" ht="15" hidden="false" customHeight="false" outlineLevel="0" collapsed="false">
      <c r="A1066" s="11"/>
      <c r="B1066" s="6"/>
      <c r="C1066" s="11"/>
      <c r="D1066" s="11"/>
      <c r="E1066" s="8" t="str">
        <f aca="false">IF($A1066="","",IF($B1066&lt;PlanDate,"Late",""))</f>
        <v/>
      </c>
    </row>
    <row r="1067" customFormat="false" ht="15" hidden="false" customHeight="false" outlineLevel="0" collapsed="false">
      <c r="A1067" s="11"/>
      <c r="B1067" s="6"/>
      <c r="C1067" s="11"/>
      <c r="D1067" s="11"/>
      <c r="E1067" s="8" t="str">
        <f aca="false">IF($A1067="","",IF($B1067&lt;PlanDate,"Late",""))</f>
        <v/>
      </c>
    </row>
    <row r="1068" customFormat="false" ht="15" hidden="false" customHeight="false" outlineLevel="0" collapsed="false">
      <c r="A1068" s="11"/>
      <c r="B1068" s="6"/>
      <c r="C1068" s="11"/>
      <c r="D1068" s="11"/>
      <c r="E1068" s="8" t="str">
        <f aca="false">IF($A1068="","",IF($B1068&lt;PlanDate,"Late",""))</f>
        <v/>
      </c>
    </row>
    <row r="1069" customFormat="false" ht="15" hidden="false" customHeight="false" outlineLevel="0" collapsed="false">
      <c r="A1069" s="11"/>
      <c r="B1069" s="6"/>
      <c r="C1069" s="11"/>
      <c r="D1069" s="11"/>
      <c r="E1069" s="8" t="str">
        <f aca="false">IF($A1069="","",IF($B1069&lt;PlanDate,"Late",""))</f>
        <v/>
      </c>
    </row>
    <row r="1070" customFormat="false" ht="15" hidden="false" customHeight="false" outlineLevel="0" collapsed="false">
      <c r="A1070" s="11"/>
      <c r="B1070" s="6"/>
      <c r="C1070" s="11"/>
      <c r="D1070" s="11"/>
      <c r="E1070" s="8" t="str">
        <f aca="false">IF($A1070="","",IF($B1070&lt;PlanDate,"Late",""))</f>
        <v/>
      </c>
    </row>
    <row r="1071" customFormat="false" ht="15" hidden="false" customHeight="false" outlineLevel="0" collapsed="false">
      <c r="A1071" s="11"/>
      <c r="B1071" s="6"/>
      <c r="C1071" s="11"/>
      <c r="D1071" s="11"/>
      <c r="E1071" s="8" t="str">
        <f aca="false">IF($A1071="","",IF($B1071&lt;PlanDate,"Late",""))</f>
        <v/>
      </c>
    </row>
    <row r="1072" customFormat="false" ht="15" hidden="false" customHeight="false" outlineLevel="0" collapsed="false">
      <c r="A1072" s="11"/>
      <c r="B1072" s="6"/>
      <c r="C1072" s="11"/>
      <c r="D1072" s="11"/>
      <c r="E1072" s="8" t="str">
        <f aca="false">IF($A1072="","",IF($B1072&lt;PlanDate,"Late",""))</f>
        <v/>
      </c>
    </row>
    <row r="1073" customFormat="false" ht="15" hidden="false" customHeight="false" outlineLevel="0" collapsed="false">
      <c r="A1073" s="11"/>
      <c r="B1073" s="6"/>
      <c r="C1073" s="11"/>
      <c r="D1073" s="11"/>
      <c r="E1073" s="8" t="str">
        <f aca="false">IF($A1073="","",IF($B1073&lt;PlanDate,"Late",""))</f>
        <v/>
      </c>
    </row>
    <row r="1074" customFormat="false" ht="15" hidden="false" customHeight="false" outlineLevel="0" collapsed="false">
      <c r="A1074" s="11"/>
      <c r="B1074" s="6"/>
      <c r="C1074" s="11"/>
      <c r="D1074" s="11"/>
      <c r="E1074" s="8" t="str">
        <f aca="false">IF($A1074="","",IF($B1074&lt;PlanDate,"Late",""))</f>
        <v/>
      </c>
    </row>
    <row r="1075" customFormat="false" ht="15" hidden="false" customHeight="false" outlineLevel="0" collapsed="false">
      <c r="A1075" s="11"/>
      <c r="B1075" s="6"/>
      <c r="C1075" s="11"/>
      <c r="D1075" s="11"/>
      <c r="E1075" s="8" t="str">
        <f aca="false">IF($A1075="","",IF($B1075&lt;PlanDate,"Late",""))</f>
        <v/>
      </c>
    </row>
    <row r="1076" customFormat="false" ht="15" hidden="false" customHeight="false" outlineLevel="0" collapsed="false">
      <c r="A1076" s="11"/>
      <c r="B1076" s="6"/>
      <c r="C1076" s="11"/>
      <c r="D1076" s="11"/>
      <c r="E1076" s="8" t="str">
        <f aca="false">IF($A1076="","",IF($B1076&lt;PlanDate,"Late",""))</f>
        <v/>
      </c>
    </row>
    <row r="1077" customFormat="false" ht="15" hidden="false" customHeight="false" outlineLevel="0" collapsed="false">
      <c r="A1077" s="11"/>
      <c r="B1077" s="6"/>
      <c r="C1077" s="11"/>
      <c r="D1077" s="11"/>
      <c r="E1077" s="8" t="str">
        <f aca="false">IF($A1077="","",IF($B1077&lt;PlanDate,"Late",""))</f>
        <v/>
      </c>
    </row>
    <row r="1078" customFormat="false" ht="15" hidden="false" customHeight="false" outlineLevel="0" collapsed="false">
      <c r="A1078" s="11"/>
      <c r="B1078" s="6"/>
      <c r="C1078" s="11"/>
      <c r="D1078" s="11"/>
      <c r="E1078" s="8" t="str">
        <f aca="false">IF($A1078="","",IF($B1078&lt;PlanDate,"Late",""))</f>
        <v/>
      </c>
    </row>
    <row r="1079" customFormat="false" ht="15" hidden="false" customHeight="false" outlineLevel="0" collapsed="false">
      <c r="A1079" s="11"/>
      <c r="B1079" s="6"/>
      <c r="C1079" s="11"/>
      <c r="D1079" s="11"/>
      <c r="E1079" s="8" t="str">
        <f aca="false">IF($A1079="","",IF($B1079&lt;PlanDate,"Late",""))</f>
        <v/>
      </c>
    </row>
    <row r="1080" customFormat="false" ht="15" hidden="false" customHeight="false" outlineLevel="0" collapsed="false">
      <c r="A1080" s="11"/>
      <c r="B1080" s="6"/>
      <c r="C1080" s="11"/>
      <c r="D1080" s="11"/>
      <c r="E1080" s="8" t="str">
        <f aca="false">IF($A1080="","",IF($B1080&lt;PlanDate,"Late",""))</f>
        <v/>
      </c>
    </row>
    <row r="1081" customFormat="false" ht="15" hidden="false" customHeight="false" outlineLevel="0" collapsed="false">
      <c r="A1081" s="11"/>
      <c r="B1081" s="6"/>
      <c r="C1081" s="11"/>
      <c r="D1081" s="11"/>
      <c r="E1081" s="8" t="str">
        <f aca="false">IF($A1081="","",IF($B1081&lt;PlanDate,"Late",""))</f>
        <v/>
      </c>
    </row>
    <row r="1082" customFormat="false" ht="15" hidden="false" customHeight="false" outlineLevel="0" collapsed="false">
      <c r="A1082" s="11"/>
      <c r="B1082" s="6"/>
      <c r="C1082" s="11"/>
      <c r="D1082" s="11"/>
      <c r="E1082" s="8" t="str">
        <f aca="false">IF($A1082="","",IF($B1082&lt;PlanDate,"Late",""))</f>
        <v/>
      </c>
    </row>
    <row r="1083" customFormat="false" ht="15" hidden="false" customHeight="false" outlineLevel="0" collapsed="false">
      <c r="A1083" s="11"/>
      <c r="B1083" s="6"/>
      <c r="C1083" s="11"/>
      <c r="D1083" s="11"/>
      <c r="E1083" s="8" t="str">
        <f aca="false">IF($A1083="","",IF($B1083&lt;PlanDate,"Late",""))</f>
        <v/>
      </c>
    </row>
    <row r="1084" customFormat="false" ht="15" hidden="false" customHeight="false" outlineLevel="0" collapsed="false">
      <c r="A1084" s="11"/>
      <c r="B1084" s="6"/>
      <c r="C1084" s="11"/>
      <c r="D1084" s="11"/>
      <c r="E1084" s="8" t="str">
        <f aca="false">IF($A1084="","",IF($B1084&lt;PlanDate,"Late",""))</f>
        <v/>
      </c>
    </row>
    <row r="1085" customFormat="false" ht="15" hidden="false" customHeight="false" outlineLevel="0" collapsed="false">
      <c r="A1085" s="11"/>
      <c r="B1085" s="6"/>
      <c r="C1085" s="11"/>
      <c r="D1085" s="11"/>
      <c r="E1085" s="8" t="str">
        <f aca="false">IF($A1085="","",IF($B1085&lt;PlanDate,"Late",""))</f>
        <v/>
      </c>
    </row>
    <row r="1086" customFormat="false" ht="15" hidden="false" customHeight="false" outlineLevel="0" collapsed="false">
      <c r="A1086" s="11"/>
      <c r="B1086" s="6"/>
      <c r="C1086" s="11"/>
      <c r="D1086" s="11"/>
      <c r="E1086" s="8" t="str">
        <f aca="false">IF($A1086="","",IF($B1086&lt;PlanDate,"Late",""))</f>
        <v/>
      </c>
    </row>
    <row r="1087" customFormat="false" ht="15" hidden="false" customHeight="false" outlineLevel="0" collapsed="false">
      <c r="A1087" s="11"/>
      <c r="B1087" s="6"/>
      <c r="C1087" s="11"/>
      <c r="D1087" s="11"/>
      <c r="E1087" s="8" t="str">
        <f aca="false">IF($A1087="","",IF($B1087&lt;PlanDate,"Late",""))</f>
        <v/>
      </c>
    </row>
    <row r="1088" customFormat="false" ht="15" hidden="false" customHeight="false" outlineLevel="0" collapsed="false">
      <c r="A1088" s="11"/>
      <c r="B1088" s="6"/>
      <c r="C1088" s="11"/>
      <c r="D1088" s="11"/>
      <c r="E1088" s="8" t="str">
        <f aca="false">IF($A1088="","",IF($B1088&lt;PlanDate,"Late",""))</f>
        <v/>
      </c>
    </row>
    <row r="1089" customFormat="false" ht="15" hidden="false" customHeight="false" outlineLevel="0" collapsed="false">
      <c r="A1089" s="11"/>
      <c r="B1089" s="6"/>
      <c r="C1089" s="11"/>
      <c r="D1089" s="11"/>
      <c r="E1089" s="8" t="str">
        <f aca="false">IF($A1089="","",IF($B1089&lt;PlanDate,"Late",""))</f>
        <v/>
      </c>
    </row>
    <row r="1090" customFormat="false" ht="15" hidden="false" customHeight="false" outlineLevel="0" collapsed="false">
      <c r="A1090" s="11"/>
      <c r="B1090" s="6"/>
      <c r="C1090" s="11"/>
      <c r="D1090" s="11"/>
      <c r="E1090" s="8" t="str">
        <f aca="false">IF($A1090="","",IF($B1090&lt;PlanDate,"Late",""))</f>
        <v/>
      </c>
    </row>
    <row r="1091" customFormat="false" ht="15" hidden="false" customHeight="false" outlineLevel="0" collapsed="false">
      <c r="A1091" s="11"/>
      <c r="B1091" s="6"/>
      <c r="C1091" s="11"/>
      <c r="D1091" s="11"/>
      <c r="E1091" s="8" t="str">
        <f aca="false">IF($A1091="","",IF($B1091&lt;PlanDate,"Late",""))</f>
        <v/>
      </c>
    </row>
    <row r="1092" customFormat="false" ht="15" hidden="false" customHeight="false" outlineLevel="0" collapsed="false">
      <c r="A1092" s="11"/>
      <c r="B1092" s="6"/>
      <c r="C1092" s="11"/>
      <c r="D1092" s="11"/>
      <c r="E1092" s="8" t="str">
        <f aca="false">IF($A1092="","",IF($B1092&lt;PlanDate,"Late",""))</f>
        <v/>
      </c>
    </row>
    <row r="1093" customFormat="false" ht="15" hidden="false" customHeight="false" outlineLevel="0" collapsed="false">
      <c r="A1093" s="11"/>
      <c r="B1093" s="6"/>
      <c r="C1093" s="11"/>
      <c r="D1093" s="11"/>
      <c r="E1093" s="8" t="str">
        <f aca="false">IF($A1093="","",IF($B1093&lt;PlanDate,"Late",""))</f>
        <v/>
      </c>
    </row>
    <row r="1094" customFormat="false" ht="15" hidden="false" customHeight="false" outlineLevel="0" collapsed="false">
      <c r="A1094" s="11"/>
      <c r="B1094" s="6"/>
      <c r="C1094" s="11"/>
      <c r="D1094" s="11"/>
      <c r="E1094" s="8" t="str">
        <f aca="false">IF($A1094="","",IF($B1094&lt;PlanDate,"Late",""))</f>
        <v/>
      </c>
    </row>
    <row r="1095" customFormat="false" ht="15" hidden="false" customHeight="false" outlineLevel="0" collapsed="false">
      <c r="A1095" s="11"/>
      <c r="B1095" s="6"/>
      <c r="C1095" s="11"/>
      <c r="D1095" s="11"/>
      <c r="E1095" s="8" t="str">
        <f aca="false">IF($A1095="","",IF($B1095&lt;PlanDate,"Late",""))</f>
        <v/>
      </c>
    </row>
    <row r="1096" customFormat="false" ht="15" hidden="false" customHeight="false" outlineLevel="0" collapsed="false">
      <c r="A1096" s="11"/>
      <c r="B1096" s="6"/>
      <c r="C1096" s="11"/>
      <c r="D1096" s="11"/>
      <c r="E1096" s="8" t="str">
        <f aca="false">IF($A1096="","",IF($B1096&lt;PlanDate,"Late",""))</f>
        <v/>
      </c>
    </row>
    <row r="1097" customFormat="false" ht="15" hidden="false" customHeight="false" outlineLevel="0" collapsed="false">
      <c r="A1097" s="11"/>
      <c r="B1097" s="6"/>
      <c r="C1097" s="11"/>
      <c r="D1097" s="11"/>
      <c r="E1097" s="8" t="str">
        <f aca="false">IF($A1097="","",IF($B1097&lt;PlanDate,"Late",""))</f>
        <v/>
      </c>
    </row>
    <row r="1098" customFormat="false" ht="15" hidden="false" customHeight="false" outlineLevel="0" collapsed="false">
      <c r="A1098" s="11"/>
      <c r="B1098" s="6"/>
      <c r="C1098" s="11"/>
      <c r="D1098" s="11"/>
      <c r="E1098" s="8" t="str">
        <f aca="false">IF($A1098="","",IF($B1098&lt;PlanDate,"Late",""))</f>
        <v/>
      </c>
    </row>
    <row r="1099" customFormat="false" ht="15" hidden="false" customHeight="false" outlineLevel="0" collapsed="false">
      <c r="A1099" s="11"/>
      <c r="B1099" s="6"/>
      <c r="C1099" s="11"/>
      <c r="D1099" s="11"/>
      <c r="E1099" s="8" t="str">
        <f aca="false">IF($A1099="","",IF($B1099&lt;PlanDate,"Late",""))</f>
        <v/>
      </c>
    </row>
    <row r="1100" customFormat="false" ht="15" hidden="false" customHeight="false" outlineLevel="0" collapsed="false">
      <c r="A1100" s="11"/>
      <c r="B1100" s="6"/>
      <c r="C1100" s="11"/>
      <c r="D1100" s="11"/>
      <c r="E1100" s="8" t="str">
        <f aca="false">IF($A1100="","",IF($B1100&lt;PlanDate,"Late",""))</f>
        <v/>
      </c>
    </row>
    <row r="1101" customFormat="false" ht="15" hidden="false" customHeight="false" outlineLevel="0" collapsed="false">
      <c r="A1101" s="11"/>
      <c r="B1101" s="6"/>
      <c r="C1101" s="11"/>
      <c r="D1101" s="11"/>
      <c r="E1101" s="8" t="str">
        <f aca="false">IF($A1101="","",IF($B1101&lt;PlanDate,"Late",""))</f>
        <v/>
      </c>
    </row>
    <row r="1102" customFormat="false" ht="15" hidden="false" customHeight="false" outlineLevel="0" collapsed="false">
      <c r="A1102" s="11"/>
      <c r="B1102" s="6"/>
      <c r="C1102" s="11"/>
      <c r="D1102" s="11"/>
      <c r="E1102" s="8" t="str">
        <f aca="false">IF($A1102="","",IF($B1102&lt;PlanDate,"Late",""))</f>
        <v/>
      </c>
    </row>
    <row r="1103" customFormat="false" ht="15" hidden="false" customHeight="false" outlineLevel="0" collapsed="false">
      <c r="A1103" s="11"/>
      <c r="B1103" s="6"/>
      <c r="C1103" s="11"/>
      <c r="D1103" s="11"/>
      <c r="E1103" s="8" t="str">
        <f aca="false">IF($A1103="","",IF($B1103&lt;PlanDate,"Late",""))</f>
        <v/>
      </c>
    </row>
    <row r="1104" customFormat="false" ht="15" hidden="false" customHeight="false" outlineLevel="0" collapsed="false">
      <c r="A1104" s="11"/>
      <c r="B1104" s="6"/>
      <c r="C1104" s="11"/>
      <c r="D1104" s="11"/>
      <c r="E1104" s="8" t="str">
        <f aca="false">IF($A1104="","",IF($B1104&lt;PlanDate,"Late",""))</f>
        <v/>
      </c>
    </row>
    <row r="1105" customFormat="false" ht="15" hidden="false" customHeight="false" outlineLevel="0" collapsed="false">
      <c r="A1105" s="11"/>
      <c r="B1105" s="6"/>
      <c r="C1105" s="11"/>
      <c r="D1105" s="11"/>
      <c r="E1105" s="8" t="str">
        <f aca="false">IF($A1105="","",IF($B1105&lt;PlanDate,"Late",""))</f>
        <v/>
      </c>
    </row>
    <row r="1106" customFormat="false" ht="15" hidden="false" customHeight="false" outlineLevel="0" collapsed="false">
      <c r="A1106" s="11"/>
      <c r="B1106" s="6"/>
      <c r="C1106" s="11"/>
      <c r="D1106" s="11"/>
      <c r="E1106" s="8" t="str">
        <f aca="false">IF($A1106="","",IF($B1106&lt;PlanDate,"Late",""))</f>
        <v/>
      </c>
    </row>
    <row r="1107" customFormat="false" ht="15" hidden="false" customHeight="false" outlineLevel="0" collapsed="false">
      <c r="A1107" s="11"/>
      <c r="B1107" s="6"/>
      <c r="C1107" s="11"/>
      <c r="D1107" s="11"/>
      <c r="E1107" s="8" t="str">
        <f aca="false">IF($A1107="","",IF($B1107&lt;PlanDate,"Late",""))</f>
        <v/>
      </c>
    </row>
    <row r="1108" customFormat="false" ht="15" hidden="false" customHeight="false" outlineLevel="0" collapsed="false">
      <c r="A1108" s="11"/>
      <c r="B1108" s="6"/>
      <c r="C1108" s="11"/>
      <c r="D1108" s="11"/>
      <c r="E1108" s="8" t="str">
        <f aca="false">IF($A1108="","",IF($B1108&lt;PlanDate,"Late",""))</f>
        <v/>
      </c>
    </row>
    <row r="1109" customFormat="false" ht="15" hidden="false" customHeight="false" outlineLevel="0" collapsed="false">
      <c r="A1109" s="11"/>
      <c r="B1109" s="6"/>
      <c r="C1109" s="11"/>
      <c r="D1109" s="11"/>
      <c r="E1109" s="8" t="str">
        <f aca="false">IF($A1109="","",IF($B1109&lt;PlanDate,"Late",""))</f>
        <v/>
      </c>
    </row>
    <row r="1110" customFormat="false" ht="15" hidden="false" customHeight="false" outlineLevel="0" collapsed="false">
      <c r="A1110" s="11"/>
      <c r="B1110" s="6"/>
      <c r="C1110" s="11"/>
      <c r="D1110" s="11"/>
      <c r="E1110" s="8" t="str">
        <f aca="false">IF($A1110="","",IF($B1110&lt;PlanDate,"Late",""))</f>
        <v/>
      </c>
    </row>
    <row r="1111" customFormat="false" ht="15" hidden="false" customHeight="false" outlineLevel="0" collapsed="false">
      <c r="A1111" s="11"/>
      <c r="B1111" s="6"/>
      <c r="C1111" s="11"/>
      <c r="D1111" s="11"/>
      <c r="E1111" s="8" t="str">
        <f aca="false">IF($A1111="","",IF($B1111&lt;PlanDate,"Late",""))</f>
        <v/>
      </c>
    </row>
    <row r="1112" customFormat="false" ht="15" hidden="false" customHeight="false" outlineLevel="0" collapsed="false">
      <c r="A1112" s="11"/>
      <c r="B1112" s="6"/>
      <c r="C1112" s="11"/>
      <c r="D1112" s="11"/>
      <c r="E1112" s="8" t="str">
        <f aca="false">IF($A1112="","",IF($B1112&lt;PlanDate,"Late",""))</f>
        <v/>
      </c>
    </row>
    <row r="1113" customFormat="false" ht="15" hidden="false" customHeight="false" outlineLevel="0" collapsed="false">
      <c r="A1113" s="11"/>
      <c r="B1113" s="6"/>
      <c r="C1113" s="11"/>
      <c r="D1113" s="11"/>
      <c r="E1113" s="8" t="str">
        <f aca="false">IF($A1113="","",IF($B1113&lt;PlanDate,"Late",""))</f>
        <v/>
      </c>
    </row>
    <row r="1114" customFormat="false" ht="15" hidden="false" customHeight="false" outlineLevel="0" collapsed="false">
      <c r="A1114" s="11"/>
      <c r="B1114" s="6"/>
      <c r="C1114" s="11"/>
      <c r="D1114" s="11"/>
      <c r="E1114" s="8" t="str">
        <f aca="false">IF($A1114="","",IF($B1114&lt;PlanDate,"Late",""))</f>
        <v/>
      </c>
    </row>
    <row r="1115" customFormat="false" ht="15" hidden="false" customHeight="false" outlineLevel="0" collapsed="false">
      <c r="A1115" s="11"/>
      <c r="B1115" s="6"/>
      <c r="C1115" s="11"/>
      <c r="D1115" s="11"/>
      <c r="E1115" s="8" t="str">
        <f aca="false">IF($A1115="","",IF($B1115&lt;PlanDate,"Late",""))</f>
        <v/>
      </c>
    </row>
    <row r="1116" customFormat="false" ht="15" hidden="false" customHeight="false" outlineLevel="0" collapsed="false">
      <c r="A1116" s="11"/>
      <c r="B1116" s="6"/>
      <c r="C1116" s="11"/>
      <c r="D1116" s="11"/>
      <c r="E1116" s="8" t="str">
        <f aca="false">IF($A1116="","",IF($B1116&lt;PlanDate,"Late",""))</f>
        <v/>
      </c>
    </row>
    <row r="1117" customFormat="false" ht="15" hidden="false" customHeight="false" outlineLevel="0" collapsed="false">
      <c r="A1117" s="11"/>
      <c r="B1117" s="6"/>
      <c r="C1117" s="11"/>
      <c r="D1117" s="11"/>
      <c r="E1117" s="8" t="str">
        <f aca="false">IF($A1117="","",IF($B1117&lt;PlanDate,"Late",""))</f>
        <v/>
      </c>
    </row>
    <row r="1118" customFormat="false" ht="15" hidden="false" customHeight="false" outlineLevel="0" collapsed="false">
      <c r="A1118" s="11"/>
      <c r="B1118" s="6"/>
      <c r="C1118" s="11"/>
      <c r="D1118" s="11"/>
      <c r="E1118" s="8" t="str">
        <f aca="false">IF($A1118="","",IF($B1118&lt;PlanDate,"Late",""))</f>
        <v/>
      </c>
    </row>
    <row r="1119" customFormat="false" ht="15" hidden="false" customHeight="false" outlineLevel="0" collapsed="false">
      <c r="A1119" s="11"/>
      <c r="B1119" s="6"/>
      <c r="C1119" s="11"/>
      <c r="D1119" s="11"/>
      <c r="E1119" s="8" t="str">
        <f aca="false">IF($A1119="","",IF($B1119&lt;PlanDate,"Late",""))</f>
        <v/>
      </c>
    </row>
    <row r="1120" customFormat="false" ht="15" hidden="false" customHeight="false" outlineLevel="0" collapsed="false">
      <c r="A1120" s="11"/>
      <c r="B1120" s="6"/>
      <c r="C1120" s="11"/>
      <c r="D1120" s="11"/>
      <c r="E1120" s="8" t="str">
        <f aca="false">IF($A1120="","",IF($B1120&lt;PlanDate,"Late",""))</f>
        <v/>
      </c>
    </row>
    <row r="1121" customFormat="false" ht="15" hidden="false" customHeight="false" outlineLevel="0" collapsed="false">
      <c r="A1121" s="11"/>
      <c r="B1121" s="6"/>
      <c r="C1121" s="11"/>
      <c r="D1121" s="11"/>
      <c r="E1121" s="8" t="str">
        <f aca="false">IF($A1121="","",IF($B1121&lt;PlanDate,"Late",""))</f>
        <v/>
      </c>
    </row>
    <row r="1122" customFormat="false" ht="15" hidden="false" customHeight="false" outlineLevel="0" collapsed="false">
      <c r="A1122" s="11"/>
      <c r="B1122" s="6"/>
      <c r="C1122" s="11"/>
      <c r="D1122" s="11"/>
      <c r="E1122" s="8" t="str">
        <f aca="false">IF($A1122="","",IF($B1122&lt;PlanDate,"Late",""))</f>
        <v/>
      </c>
    </row>
    <row r="1123" customFormat="false" ht="15" hidden="false" customHeight="false" outlineLevel="0" collapsed="false">
      <c r="A1123" s="11"/>
      <c r="B1123" s="6"/>
      <c r="C1123" s="11"/>
      <c r="D1123" s="11"/>
      <c r="E1123" s="8" t="str">
        <f aca="false">IF($A1123="","",IF($B1123&lt;PlanDate,"Late",""))</f>
        <v/>
      </c>
    </row>
    <row r="1124" customFormat="false" ht="15" hidden="false" customHeight="false" outlineLevel="0" collapsed="false">
      <c r="A1124" s="11"/>
      <c r="B1124" s="6"/>
      <c r="C1124" s="11"/>
      <c r="D1124" s="11"/>
      <c r="E1124" s="8" t="str">
        <f aca="false">IF($A1124="","",IF($B1124&lt;PlanDate,"Late",""))</f>
        <v/>
      </c>
    </row>
    <row r="1125" customFormat="false" ht="15" hidden="false" customHeight="false" outlineLevel="0" collapsed="false">
      <c r="A1125" s="11"/>
      <c r="B1125" s="6"/>
      <c r="C1125" s="11"/>
      <c r="D1125" s="11"/>
      <c r="E1125" s="8" t="str">
        <f aca="false">IF($A1125="","",IF($B1125&lt;PlanDate,"Late",""))</f>
        <v/>
      </c>
    </row>
    <row r="1126" customFormat="false" ht="15" hidden="false" customHeight="false" outlineLevel="0" collapsed="false">
      <c r="A1126" s="11"/>
      <c r="B1126" s="6"/>
      <c r="C1126" s="11"/>
      <c r="D1126" s="11"/>
      <c r="E1126" s="8" t="str">
        <f aca="false">IF($A1126="","",IF($B1126&lt;PlanDate,"Late",""))</f>
        <v/>
      </c>
    </row>
    <row r="1127" customFormat="false" ht="15" hidden="false" customHeight="false" outlineLevel="0" collapsed="false">
      <c r="A1127" s="11"/>
      <c r="B1127" s="6"/>
      <c r="C1127" s="11"/>
      <c r="D1127" s="11"/>
      <c r="E1127" s="8" t="str">
        <f aca="false">IF($A1127="","",IF($B1127&lt;PlanDate,"Late",""))</f>
        <v/>
      </c>
    </row>
    <row r="1128" customFormat="false" ht="15" hidden="false" customHeight="false" outlineLevel="0" collapsed="false">
      <c r="A1128" s="11"/>
      <c r="B1128" s="6"/>
      <c r="C1128" s="11"/>
      <c r="D1128" s="11"/>
      <c r="E1128" s="8" t="str">
        <f aca="false">IF($A1128="","",IF($B1128&lt;PlanDate,"Late",""))</f>
        <v/>
      </c>
    </row>
    <row r="1129" customFormat="false" ht="15" hidden="false" customHeight="false" outlineLevel="0" collapsed="false">
      <c r="A1129" s="11"/>
      <c r="B1129" s="6"/>
      <c r="C1129" s="11"/>
      <c r="D1129" s="11"/>
      <c r="E1129" s="8" t="str">
        <f aca="false">IF($A1129="","",IF($B1129&lt;PlanDate,"Late",""))</f>
        <v/>
      </c>
    </row>
    <row r="1130" customFormat="false" ht="15" hidden="false" customHeight="false" outlineLevel="0" collapsed="false">
      <c r="A1130" s="11"/>
      <c r="B1130" s="6"/>
      <c r="C1130" s="11"/>
      <c r="D1130" s="11"/>
      <c r="E1130" s="8" t="str">
        <f aca="false">IF($A1130="","",IF($B1130&lt;PlanDate,"Late",""))</f>
        <v/>
      </c>
    </row>
    <row r="1131" customFormat="false" ht="15" hidden="false" customHeight="false" outlineLevel="0" collapsed="false">
      <c r="A1131" s="11"/>
      <c r="B1131" s="6"/>
      <c r="C1131" s="11"/>
      <c r="D1131" s="11"/>
      <c r="E1131" s="8" t="str">
        <f aca="false">IF($A1131="","",IF($B1131&lt;PlanDate,"Late",""))</f>
        <v/>
      </c>
    </row>
    <row r="1132" customFormat="false" ht="15" hidden="false" customHeight="false" outlineLevel="0" collapsed="false">
      <c r="A1132" s="11"/>
      <c r="B1132" s="6"/>
      <c r="C1132" s="11"/>
      <c r="D1132" s="11"/>
      <c r="E1132" s="8" t="str">
        <f aca="false">IF($A1132="","",IF($B1132&lt;PlanDate,"Late",""))</f>
        <v/>
      </c>
    </row>
    <row r="1133" customFormat="false" ht="15" hidden="false" customHeight="false" outlineLevel="0" collapsed="false">
      <c r="A1133" s="11"/>
      <c r="B1133" s="6"/>
      <c r="C1133" s="11"/>
      <c r="D1133" s="11"/>
      <c r="E1133" s="8" t="str">
        <f aca="false">IF($A1133="","",IF($B1133&lt;PlanDate,"Late",""))</f>
        <v/>
      </c>
    </row>
    <row r="1134" customFormat="false" ht="15" hidden="false" customHeight="false" outlineLevel="0" collapsed="false">
      <c r="A1134" s="11"/>
      <c r="B1134" s="6"/>
      <c r="C1134" s="11"/>
      <c r="D1134" s="11"/>
      <c r="E1134" s="8" t="str">
        <f aca="false">IF($A1134="","",IF($B1134&lt;PlanDate,"Late",""))</f>
        <v/>
      </c>
    </row>
    <row r="1135" customFormat="false" ht="15" hidden="false" customHeight="false" outlineLevel="0" collapsed="false">
      <c r="A1135" s="11"/>
      <c r="B1135" s="6"/>
      <c r="C1135" s="11"/>
      <c r="D1135" s="11"/>
      <c r="E1135" s="8" t="str">
        <f aca="false">IF($A1135="","",IF($B1135&lt;PlanDate,"Late",""))</f>
        <v/>
      </c>
    </row>
    <row r="1136" customFormat="false" ht="15" hidden="false" customHeight="false" outlineLevel="0" collapsed="false">
      <c r="A1136" s="11"/>
      <c r="B1136" s="6"/>
      <c r="C1136" s="11"/>
      <c r="D1136" s="11"/>
      <c r="E1136" s="8" t="str">
        <f aca="false">IF($A1136="","",IF($B1136&lt;PlanDate,"Late",""))</f>
        <v/>
      </c>
    </row>
    <row r="1137" customFormat="false" ht="15" hidden="false" customHeight="false" outlineLevel="0" collapsed="false">
      <c r="A1137" s="11"/>
      <c r="B1137" s="6"/>
      <c r="C1137" s="11"/>
      <c r="D1137" s="11"/>
      <c r="E1137" s="8" t="str">
        <f aca="false">IF($A1137="","",IF($B1137&lt;PlanDate,"Late",""))</f>
        <v/>
      </c>
    </row>
    <row r="1138" customFormat="false" ht="15" hidden="false" customHeight="false" outlineLevel="0" collapsed="false">
      <c r="A1138" s="11"/>
      <c r="B1138" s="6"/>
      <c r="C1138" s="11"/>
      <c r="D1138" s="11"/>
      <c r="E1138" s="8" t="str">
        <f aca="false">IF($A1138="","",IF($B1138&lt;PlanDate,"Late",""))</f>
        <v/>
      </c>
    </row>
    <row r="1139" customFormat="false" ht="15" hidden="false" customHeight="false" outlineLevel="0" collapsed="false">
      <c r="A1139" s="11"/>
      <c r="B1139" s="6"/>
      <c r="C1139" s="11"/>
      <c r="D1139" s="11"/>
      <c r="E1139" s="8" t="str">
        <f aca="false">IF($A1139="","",IF($B1139&lt;PlanDate,"Late",""))</f>
        <v/>
      </c>
    </row>
    <row r="1140" customFormat="false" ht="15" hidden="false" customHeight="false" outlineLevel="0" collapsed="false">
      <c r="A1140" s="11"/>
      <c r="B1140" s="6"/>
      <c r="C1140" s="11"/>
      <c r="D1140" s="11"/>
      <c r="E1140" s="8" t="str">
        <f aca="false">IF($A1140="","",IF($B1140&lt;PlanDate,"Late",""))</f>
        <v/>
      </c>
    </row>
    <row r="1141" customFormat="false" ht="15" hidden="false" customHeight="false" outlineLevel="0" collapsed="false">
      <c r="A1141" s="11"/>
      <c r="B1141" s="6"/>
      <c r="C1141" s="11"/>
      <c r="D1141" s="11"/>
      <c r="E1141" s="8" t="str">
        <f aca="false">IF($A1141="","",IF($B1141&lt;PlanDate,"Late",""))</f>
        <v/>
      </c>
    </row>
    <row r="1142" customFormat="false" ht="15" hidden="false" customHeight="false" outlineLevel="0" collapsed="false">
      <c r="A1142" s="11"/>
      <c r="B1142" s="6"/>
      <c r="C1142" s="11"/>
      <c r="D1142" s="11"/>
      <c r="E1142" s="8" t="str">
        <f aca="false">IF($A1142="","",IF($B1142&lt;PlanDate,"Late",""))</f>
        <v/>
      </c>
    </row>
    <row r="1143" customFormat="false" ht="15" hidden="false" customHeight="false" outlineLevel="0" collapsed="false">
      <c r="A1143" s="11"/>
      <c r="B1143" s="6"/>
      <c r="C1143" s="11"/>
      <c r="D1143" s="11"/>
      <c r="E1143" s="8" t="str">
        <f aca="false">IF($A1143="","",IF($B1143&lt;PlanDate,"Late",""))</f>
        <v/>
      </c>
    </row>
    <row r="1144" customFormat="false" ht="15" hidden="false" customHeight="false" outlineLevel="0" collapsed="false">
      <c r="A1144" s="11"/>
      <c r="B1144" s="6"/>
      <c r="C1144" s="11"/>
      <c r="D1144" s="11"/>
      <c r="E1144" s="8" t="str">
        <f aca="false">IF($A1144="","",IF($B1144&lt;PlanDate,"Late",""))</f>
        <v/>
      </c>
    </row>
    <row r="1145" customFormat="false" ht="15" hidden="false" customHeight="false" outlineLevel="0" collapsed="false">
      <c r="A1145" s="11"/>
      <c r="B1145" s="6"/>
      <c r="C1145" s="11"/>
      <c r="D1145" s="11"/>
      <c r="E1145" s="8" t="str">
        <f aca="false">IF($A1145="","",IF($B1145&lt;PlanDate,"Late",""))</f>
        <v/>
      </c>
    </row>
    <row r="1146" customFormat="false" ht="15" hidden="false" customHeight="false" outlineLevel="0" collapsed="false">
      <c r="A1146" s="11"/>
      <c r="B1146" s="6"/>
      <c r="C1146" s="11"/>
      <c r="D1146" s="11"/>
      <c r="E1146" s="8" t="str">
        <f aca="false">IF($A1146="","",IF($B1146&lt;PlanDate,"Late",""))</f>
        <v/>
      </c>
    </row>
    <row r="1147" customFormat="false" ht="15" hidden="false" customHeight="false" outlineLevel="0" collapsed="false">
      <c r="A1147" s="11"/>
      <c r="B1147" s="6"/>
      <c r="C1147" s="11"/>
      <c r="D1147" s="11"/>
      <c r="E1147" s="8" t="str">
        <f aca="false">IF($A1147="","",IF($B1147&lt;PlanDate,"Late",""))</f>
        <v/>
      </c>
    </row>
    <row r="1148" customFormat="false" ht="15" hidden="false" customHeight="false" outlineLevel="0" collapsed="false">
      <c r="A1148" s="11"/>
      <c r="B1148" s="6"/>
      <c r="C1148" s="11"/>
      <c r="D1148" s="11"/>
      <c r="E1148" s="8" t="str">
        <f aca="false">IF($A1148="","",IF($B1148&lt;PlanDate,"Late",""))</f>
        <v/>
      </c>
    </row>
    <row r="1149" customFormat="false" ht="15" hidden="false" customHeight="false" outlineLevel="0" collapsed="false">
      <c r="A1149" s="11"/>
      <c r="B1149" s="6"/>
      <c r="C1149" s="11"/>
      <c r="D1149" s="11"/>
      <c r="E1149" s="8" t="str">
        <f aca="false">IF($A1149="","",IF($B1149&lt;PlanDate,"Late",""))</f>
        <v/>
      </c>
    </row>
    <row r="1150" customFormat="false" ht="15" hidden="false" customHeight="false" outlineLevel="0" collapsed="false">
      <c r="A1150" s="11"/>
      <c r="B1150" s="6"/>
      <c r="C1150" s="11"/>
      <c r="D1150" s="11"/>
      <c r="E1150" s="8" t="str">
        <f aca="false">IF($A1150="","",IF($B1150&lt;PlanDate,"Late",""))</f>
        <v/>
      </c>
    </row>
    <row r="1151" customFormat="false" ht="15" hidden="false" customHeight="false" outlineLevel="0" collapsed="false">
      <c r="A1151" s="11"/>
      <c r="B1151" s="6"/>
      <c r="C1151" s="11"/>
      <c r="D1151" s="11"/>
      <c r="E1151" s="8" t="str">
        <f aca="false">IF($A1151="","",IF($B1151&lt;PlanDate,"Late",""))</f>
        <v/>
      </c>
    </row>
    <row r="1152" customFormat="false" ht="15" hidden="false" customHeight="false" outlineLevel="0" collapsed="false">
      <c r="A1152" s="11"/>
      <c r="B1152" s="6"/>
      <c r="C1152" s="11"/>
      <c r="D1152" s="11"/>
      <c r="E1152" s="8" t="str">
        <f aca="false">IF($A1152="","",IF($B1152&lt;PlanDate,"Late",""))</f>
        <v/>
      </c>
    </row>
    <row r="1153" customFormat="false" ht="15" hidden="false" customHeight="false" outlineLevel="0" collapsed="false">
      <c r="A1153" s="11"/>
      <c r="B1153" s="6"/>
      <c r="C1153" s="11"/>
      <c r="D1153" s="11"/>
      <c r="E1153" s="8" t="str">
        <f aca="false">IF($A1153="","",IF($B1153&lt;PlanDate,"Late",""))</f>
        <v/>
      </c>
    </row>
    <row r="1154" customFormat="false" ht="15" hidden="false" customHeight="false" outlineLevel="0" collapsed="false">
      <c r="A1154" s="11"/>
      <c r="B1154" s="6"/>
      <c r="C1154" s="11"/>
      <c r="D1154" s="11"/>
      <c r="E1154" s="8" t="str">
        <f aca="false">IF($A1154="","",IF($B1154&lt;PlanDate,"Late",""))</f>
        <v/>
      </c>
    </row>
    <row r="1155" customFormat="false" ht="15" hidden="false" customHeight="false" outlineLevel="0" collapsed="false">
      <c r="A1155" s="11"/>
      <c r="B1155" s="6"/>
      <c r="C1155" s="11"/>
      <c r="D1155" s="11"/>
      <c r="E1155" s="8" t="str">
        <f aca="false">IF($A1155="","",IF($B1155&lt;PlanDate,"Late",""))</f>
        <v/>
      </c>
    </row>
    <row r="1156" customFormat="false" ht="15" hidden="false" customHeight="false" outlineLevel="0" collapsed="false">
      <c r="A1156" s="11"/>
      <c r="B1156" s="6"/>
      <c r="C1156" s="11"/>
      <c r="D1156" s="11"/>
      <c r="E1156" s="8" t="str">
        <f aca="false">IF($A1156="","",IF($B1156&lt;PlanDate,"Late",""))</f>
        <v/>
      </c>
    </row>
    <row r="1157" customFormat="false" ht="15" hidden="false" customHeight="false" outlineLevel="0" collapsed="false">
      <c r="A1157" s="11"/>
      <c r="B1157" s="6"/>
      <c r="C1157" s="11"/>
      <c r="D1157" s="11"/>
      <c r="E1157" s="8" t="str">
        <f aca="false">IF($A1157="","",IF($B1157&lt;PlanDate,"Late",""))</f>
        <v/>
      </c>
    </row>
    <row r="1158" customFormat="false" ht="15" hidden="false" customHeight="false" outlineLevel="0" collapsed="false">
      <c r="A1158" s="11"/>
      <c r="B1158" s="6"/>
      <c r="C1158" s="11"/>
      <c r="D1158" s="11"/>
      <c r="E1158" s="8" t="str">
        <f aca="false">IF($A1158="","",IF($B1158&lt;PlanDate,"Late",""))</f>
        <v/>
      </c>
    </row>
    <row r="1159" customFormat="false" ht="15" hidden="false" customHeight="false" outlineLevel="0" collapsed="false">
      <c r="A1159" s="11"/>
      <c r="B1159" s="6"/>
      <c r="C1159" s="11"/>
      <c r="D1159" s="11"/>
      <c r="E1159" s="8" t="str">
        <f aca="false">IF($A1159="","",IF($B1159&lt;PlanDate,"Late",""))</f>
        <v/>
      </c>
    </row>
    <row r="1160" customFormat="false" ht="15" hidden="false" customHeight="false" outlineLevel="0" collapsed="false">
      <c r="A1160" s="11"/>
      <c r="B1160" s="6"/>
      <c r="C1160" s="11"/>
      <c r="D1160" s="11"/>
      <c r="E1160" s="8" t="str">
        <f aca="false">IF($A1160="","",IF($B1160&lt;PlanDate,"Late",""))</f>
        <v/>
      </c>
    </row>
    <row r="1161" customFormat="false" ht="15" hidden="false" customHeight="false" outlineLevel="0" collapsed="false">
      <c r="A1161" s="11"/>
      <c r="B1161" s="6"/>
      <c r="C1161" s="11"/>
      <c r="D1161" s="11"/>
      <c r="E1161" s="8" t="str">
        <f aca="false">IF($A1161="","",IF($B1161&lt;PlanDate,"Late",""))</f>
        <v/>
      </c>
    </row>
    <row r="1162" customFormat="false" ht="15" hidden="false" customHeight="false" outlineLevel="0" collapsed="false">
      <c r="A1162" s="11"/>
      <c r="B1162" s="6"/>
      <c r="C1162" s="11"/>
      <c r="D1162" s="11"/>
      <c r="E1162" s="8" t="str">
        <f aca="false">IF($A1162="","",IF($B1162&lt;PlanDate,"Late",""))</f>
        <v/>
      </c>
    </row>
    <row r="1163" customFormat="false" ht="15" hidden="false" customHeight="false" outlineLevel="0" collapsed="false">
      <c r="A1163" s="11"/>
      <c r="B1163" s="6"/>
      <c r="C1163" s="11"/>
      <c r="D1163" s="11"/>
      <c r="E1163" s="8" t="str">
        <f aca="false">IF($A1163="","",IF($B1163&lt;PlanDate,"Late",""))</f>
        <v/>
      </c>
    </row>
    <row r="1164" customFormat="false" ht="15" hidden="false" customHeight="false" outlineLevel="0" collapsed="false">
      <c r="A1164" s="11"/>
      <c r="B1164" s="6"/>
      <c r="C1164" s="11"/>
      <c r="D1164" s="11"/>
      <c r="E1164" s="8" t="str">
        <f aca="false">IF($A1164="","",IF($B1164&lt;PlanDate,"Late",""))</f>
        <v/>
      </c>
    </row>
    <row r="1165" customFormat="false" ht="15" hidden="false" customHeight="false" outlineLevel="0" collapsed="false">
      <c r="A1165" s="11"/>
      <c r="B1165" s="6"/>
      <c r="C1165" s="11"/>
      <c r="D1165" s="11"/>
      <c r="E1165" s="8" t="str">
        <f aca="false">IF($A1165="","",IF($B1165&lt;PlanDate,"Late",""))</f>
        <v/>
      </c>
    </row>
    <row r="1166" customFormat="false" ht="15" hidden="false" customHeight="false" outlineLevel="0" collapsed="false">
      <c r="A1166" s="11"/>
      <c r="B1166" s="6"/>
      <c r="C1166" s="11"/>
      <c r="D1166" s="11"/>
      <c r="E1166" s="8" t="str">
        <f aca="false">IF($A1166="","",IF($B1166&lt;PlanDate,"Late",""))</f>
        <v/>
      </c>
    </row>
    <row r="1167" customFormat="false" ht="15" hidden="false" customHeight="false" outlineLevel="0" collapsed="false">
      <c r="A1167" s="11"/>
      <c r="B1167" s="6"/>
      <c r="C1167" s="11"/>
      <c r="D1167" s="11"/>
      <c r="E1167" s="8" t="str">
        <f aca="false">IF($A1167="","",IF($B1167&lt;PlanDate,"Late",""))</f>
        <v/>
      </c>
    </row>
    <row r="1168" customFormat="false" ht="15" hidden="false" customHeight="false" outlineLevel="0" collapsed="false">
      <c r="A1168" s="11"/>
      <c r="B1168" s="6"/>
      <c r="C1168" s="11"/>
      <c r="D1168" s="11"/>
      <c r="E1168" s="8" t="str">
        <f aca="false">IF($A1168="","",IF($B1168&lt;PlanDate,"Late",""))</f>
        <v/>
      </c>
    </row>
    <row r="1169" customFormat="false" ht="15" hidden="false" customHeight="false" outlineLevel="0" collapsed="false">
      <c r="A1169" s="11"/>
      <c r="B1169" s="6"/>
      <c r="C1169" s="11"/>
      <c r="D1169" s="11"/>
      <c r="E1169" s="8" t="str">
        <f aca="false">IF($A1169="","",IF($B1169&lt;PlanDate,"Late",""))</f>
        <v/>
      </c>
    </row>
    <row r="1170" customFormat="false" ht="15" hidden="false" customHeight="false" outlineLevel="0" collapsed="false">
      <c r="A1170" s="11"/>
      <c r="B1170" s="6"/>
      <c r="C1170" s="11"/>
      <c r="D1170" s="11"/>
      <c r="E1170" s="8" t="str">
        <f aca="false">IF($A1170="","",IF($B1170&lt;PlanDate,"Late",""))</f>
        <v/>
      </c>
    </row>
    <row r="1171" customFormat="false" ht="15" hidden="false" customHeight="false" outlineLevel="0" collapsed="false">
      <c r="A1171" s="11"/>
      <c r="B1171" s="6"/>
      <c r="C1171" s="11"/>
      <c r="D1171" s="11"/>
      <c r="E1171" s="8" t="str">
        <f aca="false">IF($A1171="","",IF($B1171&lt;PlanDate,"Late",""))</f>
        <v/>
      </c>
    </row>
    <row r="1172" customFormat="false" ht="15" hidden="false" customHeight="false" outlineLevel="0" collapsed="false">
      <c r="A1172" s="11"/>
      <c r="B1172" s="6"/>
      <c r="C1172" s="11"/>
      <c r="D1172" s="11"/>
      <c r="E1172" s="8" t="str">
        <f aca="false">IF($A1172="","",IF($B1172&lt;PlanDate,"Late",""))</f>
        <v/>
      </c>
    </row>
    <row r="1173" customFormat="false" ht="15" hidden="false" customHeight="false" outlineLevel="0" collapsed="false">
      <c r="A1173" s="11"/>
      <c r="B1173" s="6"/>
      <c r="C1173" s="11"/>
      <c r="D1173" s="11"/>
      <c r="E1173" s="8" t="str">
        <f aca="false">IF($A1173="","",IF($B1173&lt;PlanDate,"Late",""))</f>
        <v/>
      </c>
    </row>
    <row r="1174" customFormat="false" ht="15" hidden="false" customHeight="false" outlineLevel="0" collapsed="false">
      <c r="A1174" s="11"/>
      <c r="B1174" s="6"/>
      <c r="C1174" s="11"/>
      <c r="D1174" s="11"/>
      <c r="E1174" s="8" t="str">
        <f aca="false">IF($A1174="","",IF($B1174&lt;PlanDate,"Late",""))</f>
        <v/>
      </c>
    </row>
    <row r="1175" customFormat="false" ht="15" hidden="false" customHeight="false" outlineLevel="0" collapsed="false">
      <c r="A1175" s="11"/>
      <c r="B1175" s="6"/>
      <c r="C1175" s="11"/>
      <c r="D1175" s="11"/>
      <c r="E1175" s="8" t="str">
        <f aca="false">IF($A1175="","",IF($B1175&lt;PlanDate,"Late",""))</f>
        <v/>
      </c>
    </row>
    <row r="1176" customFormat="false" ht="15" hidden="false" customHeight="false" outlineLevel="0" collapsed="false">
      <c r="A1176" s="11"/>
      <c r="B1176" s="6"/>
      <c r="C1176" s="11"/>
      <c r="D1176" s="11"/>
      <c r="E1176" s="8" t="str">
        <f aca="false">IF($A1176="","",IF($B1176&lt;PlanDate,"Late",""))</f>
        <v/>
      </c>
    </row>
    <row r="1177" customFormat="false" ht="15" hidden="false" customHeight="false" outlineLevel="0" collapsed="false">
      <c r="A1177" s="11"/>
      <c r="B1177" s="6"/>
      <c r="C1177" s="11"/>
      <c r="D1177" s="11"/>
      <c r="E1177" s="8" t="str">
        <f aca="false">IF($A1177="","",IF($B1177&lt;PlanDate,"Late",""))</f>
        <v/>
      </c>
    </row>
    <row r="1178" customFormat="false" ht="15" hidden="false" customHeight="false" outlineLevel="0" collapsed="false">
      <c r="A1178" s="11"/>
      <c r="B1178" s="6"/>
      <c r="C1178" s="11"/>
      <c r="D1178" s="11"/>
      <c r="E1178" s="8" t="str">
        <f aca="false">IF($A1178="","",IF($B1178&lt;PlanDate,"Late",""))</f>
        <v/>
      </c>
    </row>
    <row r="1179" customFormat="false" ht="15" hidden="false" customHeight="false" outlineLevel="0" collapsed="false">
      <c r="A1179" s="11"/>
      <c r="B1179" s="6"/>
      <c r="C1179" s="11"/>
      <c r="D1179" s="11"/>
      <c r="E1179" s="8" t="str">
        <f aca="false">IF($A1179="","",IF($B1179&lt;PlanDate,"Late",""))</f>
        <v/>
      </c>
    </row>
    <row r="1180" customFormat="false" ht="15" hidden="false" customHeight="false" outlineLevel="0" collapsed="false">
      <c r="A1180" s="11"/>
      <c r="B1180" s="6"/>
      <c r="C1180" s="11"/>
      <c r="D1180" s="11"/>
      <c r="E1180" s="8" t="str">
        <f aca="false">IF($A1180="","",IF($B1180&lt;PlanDate,"Late",""))</f>
        <v/>
      </c>
    </row>
    <row r="1181" customFormat="false" ht="15" hidden="false" customHeight="false" outlineLevel="0" collapsed="false">
      <c r="A1181" s="11"/>
      <c r="B1181" s="6"/>
      <c r="C1181" s="11"/>
      <c r="D1181" s="11"/>
      <c r="E1181" s="8" t="str">
        <f aca="false">IF($A1181="","",IF($B1181&lt;PlanDate,"Late",""))</f>
        <v/>
      </c>
    </row>
    <row r="1182" customFormat="false" ht="15" hidden="false" customHeight="false" outlineLevel="0" collapsed="false">
      <c r="A1182" s="11"/>
      <c r="B1182" s="6"/>
      <c r="C1182" s="11"/>
      <c r="D1182" s="11"/>
      <c r="E1182" s="8" t="str">
        <f aca="false">IF($A1182="","",IF($B1182&lt;PlanDate,"Late",""))</f>
        <v/>
      </c>
    </row>
    <row r="1183" customFormat="false" ht="15" hidden="false" customHeight="false" outlineLevel="0" collapsed="false">
      <c r="A1183" s="11"/>
      <c r="B1183" s="6"/>
      <c r="C1183" s="11"/>
      <c r="D1183" s="11"/>
      <c r="E1183" s="8" t="str">
        <f aca="false">IF($A1183="","",IF($B1183&lt;PlanDate,"Late",""))</f>
        <v/>
      </c>
    </row>
    <row r="1184" customFormat="false" ht="15" hidden="false" customHeight="false" outlineLevel="0" collapsed="false">
      <c r="A1184" s="11"/>
      <c r="B1184" s="6"/>
      <c r="C1184" s="11"/>
      <c r="D1184" s="11"/>
      <c r="E1184" s="8" t="str">
        <f aca="false">IF($A1184="","",IF($B1184&lt;PlanDate,"Late",""))</f>
        <v/>
      </c>
    </row>
    <row r="1185" customFormat="false" ht="15" hidden="false" customHeight="false" outlineLevel="0" collapsed="false">
      <c r="A1185" s="11"/>
      <c r="B1185" s="6"/>
      <c r="C1185" s="11"/>
      <c r="D1185" s="11"/>
      <c r="E1185" s="8" t="str">
        <f aca="false">IF($A1185="","",IF($B1185&lt;PlanDate,"Late",""))</f>
        <v/>
      </c>
    </row>
    <row r="1186" customFormat="false" ht="15" hidden="false" customHeight="false" outlineLevel="0" collapsed="false">
      <c r="A1186" s="11"/>
      <c r="B1186" s="6"/>
      <c r="C1186" s="11"/>
      <c r="D1186" s="11"/>
      <c r="E1186" s="8" t="str">
        <f aca="false">IF($A1186="","",IF($B1186&lt;PlanDate,"Late",""))</f>
        <v/>
      </c>
    </row>
    <row r="1187" customFormat="false" ht="15" hidden="false" customHeight="false" outlineLevel="0" collapsed="false">
      <c r="A1187" s="11"/>
      <c r="B1187" s="6"/>
      <c r="C1187" s="11"/>
      <c r="D1187" s="11"/>
      <c r="E1187" s="8" t="str">
        <f aca="false">IF($A1187="","",IF($B1187&lt;PlanDate,"Late",""))</f>
        <v/>
      </c>
    </row>
    <row r="1188" customFormat="false" ht="15" hidden="false" customHeight="false" outlineLevel="0" collapsed="false">
      <c r="A1188" s="11"/>
      <c r="B1188" s="6"/>
      <c r="C1188" s="11"/>
      <c r="D1188" s="11"/>
      <c r="E1188" s="8" t="str">
        <f aca="false">IF($A1188="","",IF($B1188&lt;PlanDate,"Late",""))</f>
        <v/>
      </c>
    </row>
    <row r="1189" customFormat="false" ht="15" hidden="false" customHeight="false" outlineLevel="0" collapsed="false">
      <c r="A1189" s="11"/>
      <c r="B1189" s="6"/>
      <c r="C1189" s="11"/>
      <c r="D1189" s="11"/>
      <c r="E1189" s="8" t="str">
        <f aca="false">IF($A1189="","",IF($B1189&lt;PlanDate,"Late",""))</f>
        <v/>
      </c>
    </row>
    <row r="1190" customFormat="false" ht="15" hidden="false" customHeight="false" outlineLevel="0" collapsed="false">
      <c r="A1190" s="11"/>
      <c r="B1190" s="6"/>
      <c r="C1190" s="11"/>
      <c r="D1190" s="11"/>
      <c r="E1190" s="8" t="str">
        <f aca="false">IF($A1190="","",IF($B1190&lt;PlanDate,"Late",""))</f>
        <v/>
      </c>
    </row>
    <row r="1191" customFormat="false" ht="15" hidden="false" customHeight="false" outlineLevel="0" collapsed="false">
      <c r="A1191" s="11"/>
      <c r="B1191" s="6"/>
      <c r="C1191" s="11"/>
      <c r="D1191" s="11"/>
      <c r="E1191" s="8" t="str">
        <f aca="false">IF($A1191="","",IF($B1191&lt;PlanDate,"Late",""))</f>
        <v/>
      </c>
    </row>
    <row r="1192" customFormat="false" ht="15" hidden="false" customHeight="false" outlineLevel="0" collapsed="false">
      <c r="A1192" s="11"/>
      <c r="B1192" s="6"/>
      <c r="C1192" s="11"/>
      <c r="D1192" s="11"/>
      <c r="E1192" s="8" t="str">
        <f aca="false">IF($A1192="","",IF($B1192&lt;PlanDate,"Late",""))</f>
        <v/>
      </c>
    </row>
    <row r="1193" customFormat="false" ht="15" hidden="false" customHeight="false" outlineLevel="0" collapsed="false">
      <c r="A1193" s="11"/>
      <c r="B1193" s="6"/>
      <c r="C1193" s="11"/>
      <c r="D1193" s="11"/>
      <c r="E1193" s="8" t="str">
        <f aca="false">IF($A1193="","",IF($B1193&lt;PlanDate,"Late",""))</f>
        <v/>
      </c>
    </row>
    <row r="1194" customFormat="false" ht="15" hidden="false" customHeight="false" outlineLevel="0" collapsed="false">
      <c r="A1194" s="11"/>
      <c r="B1194" s="6"/>
      <c r="C1194" s="11"/>
      <c r="D1194" s="11"/>
      <c r="E1194" s="8" t="str">
        <f aca="false">IF($A1194="","",IF($B1194&lt;PlanDate,"Late",""))</f>
        <v/>
      </c>
    </row>
    <row r="1195" customFormat="false" ht="15" hidden="false" customHeight="false" outlineLevel="0" collapsed="false">
      <c r="A1195" s="11"/>
      <c r="B1195" s="6"/>
      <c r="C1195" s="11"/>
      <c r="D1195" s="11"/>
      <c r="E1195" s="8" t="str">
        <f aca="false">IF($A1195="","",IF($B1195&lt;PlanDate,"Late",""))</f>
        <v/>
      </c>
    </row>
    <row r="1196" customFormat="false" ht="15" hidden="false" customHeight="false" outlineLevel="0" collapsed="false">
      <c r="A1196" s="11"/>
      <c r="B1196" s="6"/>
      <c r="C1196" s="11"/>
      <c r="D1196" s="11"/>
      <c r="E1196" s="8" t="str">
        <f aca="false">IF($A1196="","",IF($B1196&lt;PlanDate,"Late",""))</f>
        <v/>
      </c>
    </row>
    <row r="1197" customFormat="false" ht="15" hidden="false" customHeight="false" outlineLevel="0" collapsed="false">
      <c r="A1197" s="11"/>
      <c r="B1197" s="6"/>
      <c r="C1197" s="11"/>
      <c r="D1197" s="11"/>
      <c r="E1197" s="8" t="str">
        <f aca="false">IF($A1197="","",IF($B1197&lt;PlanDate,"Late",""))</f>
        <v/>
      </c>
    </row>
    <row r="1198" customFormat="false" ht="15" hidden="false" customHeight="false" outlineLevel="0" collapsed="false">
      <c r="A1198" s="11"/>
      <c r="B1198" s="6"/>
      <c r="C1198" s="11"/>
      <c r="D1198" s="11"/>
      <c r="E1198" s="8" t="str">
        <f aca="false">IF($A1198="","",IF($B1198&lt;PlanDate,"Late",""))</f>
        <v/>
      </c>
    </row>
    <row r="1199" customFormat="false" ht="15" hidden="false" customHeight="false" outlineLevel="0" collapsed="false">
      <c r="A1199" s="11"/>
      <c r="B1199" s="6"/>
      <c r="C1199" s="11"/>
      <c r="D1199" s="11"/>
      <c r="E1199" s="8" t="str">
        <f aca="false">IF($A1199="","",IF($B1199&lt;PlanDate,"Late",""))</f>
        <v/>
      </c>
    </row>
    <row r="1200" customFormat="false" ht="15" hidden="false" customHeight="false" outlineLevel="0" collapsed="false">
      <c r="A1200" s="11"/>
      <c r="B1200" s="6"/>
      <c r="C1200" s="11"/>
      <c r="D1200" s="11"/>
      <c r="E1200" s="8" t="str">
        <f aca="false">IF($A1200="","",IF($B1200&lt;PlanDate,"Late",""))</f>
        <v/>
      </c>
    </row>
    <row r="1201" customFormat="false" ht="15" hidden="false" customHeight="false" outlineLevel="0" collapsed="false">
      <c r="A1201" s="11"/>
      <c r="B1201" s="6"/>
      <c r="C1201" s="11"/>
      <c r="D1201" s="11"/>
      <c r="E1201" s="8" t="str">
        <f aca="false">IF($A1201="","",IF($B1201&lt;PlanDate,"Late",""))</f>
        <v/>
      </c>
    </row>
    <row r="1202" customFormat="false" ht="15" hidden="false" customHeight="false" outlineLevel="0" collapsed="false">
      <c r="A1202" s="11"/>
      <c r="B1202" s="6"/>
      <c r="C1202" s="11"/>
      <c r="D1202" s="11"/>
      <c r="E1202" s="8" t="str">
        <f aca="false">IF($A1202="","",IF($B1202&lt;PlanDate,"Late",""))</f>
        <v/>
      </c>
    </row>
    <row r="1203" customFormat="false" ht="15" hidden="false" customHeight="false" outlineLevel="0" collapsed="false">
      <c r="A1203" s="11"/>
      <c r="B1203" s="6"/>
      <c r="C1203" s="11"/>
      <c r="D1203" s="11"/>
      <c r="E1203" s="8" t="str">
        <f aca="false">IF($A1203="","",IF($B1203&lt;PlanDate,"Late",""))</f>
        <v/>
      </c>
    </row>
    <row r="1204" customFormat="false" ht="15" hidden="false" customHeight="false" outlineLevel="0" collapsed="false">
      <c r="A1204" s="11"/>
      <c r="B1204" s="6"/>
      <c r="C1204" s="11"/>
      <c r="D1204" s="11"/>
      <c r="E1204" s="8" t="str">
        <f aca="false">IF($A1204="","",IF($B1204&lt;PlanDate,"Late",""))</f>
        <v/>
      </c>
    </row>
    <row r="1205" customFormat="false" ht="15" hidden="false" customHeight="false" outlineLevel="0" collapsed="false">
      <c r="A1205" s="11"/>
      <c r="B1205" s="6"/>
      <c r="C1205" s="11"/>
      <c r="D1205" s="11"/>
      <c r="E1205" s="8" t="str">
        <f aca="false">IF($A1205="","",IF($B1205&lt;PlanDate,"Late",""))</f>
        <v/>
      </c>
    </row>
    <row r="1206" customFormat="false" ht="15" hidden="false" customHeight="false" outlineLevel="0" collapsed="false">
      <c r="A1206" s="11"/>
      <c r="B1206" s="6"/>
      <c r="C1206" s="11"/>
      <c r="D1206" s="11"/>
      <c r="E1206" s="8" t="str">
        <f aca="false">IF($A1206="","",IF($B1206&lt;PlanDate,"Late",""))</f>
        <v/>
      </c>
    </row>
    <row r="1207" customFormat="false" ht="15" hidden="false" customHeight="false" outlineLevel="0" collapsed="false">
      <c r="A1207" s="11"/>
      <c r="B1207" s="6"/>
      <c r="C1207" s="11"/>
      <c r="D1207" s="11"/>
      <c r="E1207" s="8" t="str">
        <f aca="false">IF($A1207="","",IF($B1207&lt;PlanDate,"Late",""))</f>
        <v/>
      </c>
    </row>
    <row r="1208" customFormat="false" ht="15" hidden="false" customHeight="false" outlineLevel="0" collapsed="false">
      <c r="A1208" s="11"/>
      <c r="B1208" s="6"/>
      <c r="C1208" s="11"/>
      <c r="D1208" s="11"/>
      <c r="E1208" s="8" t="str">
        <f aca="false">IF($A1208="","",IF($B1208&lt;PlanDate,"Late",""))</f>
        <v/>
      </c>
    </row>
    <row r="1209" customFormat="false" ht="15" hidden="false" customHeight="false" outlineLevel="0" collapsed="false">
      <c r="A1209" s="11"/>
      <c r="B1209" s="6"/>
      <c r="C1209" s="11"/>
      <c r="D1209" s="11"/>
      <c r="E1209" s="8" t="str">
        <f aca="false">IF($A1209="","",IF($B1209&lt;PlanDate,"Late",""))</f>
        <v/>
      </c>
    </row>
    <row r="1210" customFormat="false" ht="15" hidden="false" customHeight="false" outlineLevel="0" collapsed="false">
      <c r="A1210" s="11"/>
      <c r="B1210" s="6"/>
      <c r="C1210" s="11"/>
      <c r="D1210" s="11"/>
      <c r="E1210" s="8" t="str">
        <f aca="false">IF($A1210="","",IF($B1210&lt;PlanDate,"Late",""))</f>
        <v/>
      </c>
    </row>
    <row r="1211" customFormat="false" ht="15" hidden="false" customHeight="false" outlineLevel="0" collapsed="false">
      <c r="A1211" s="11"/>
      <c r="B1211" s="6"/>
      <c r="C1211" s="11"/>
      <c r="D1211" s="11"/>
      <c r="E1211" s="8" t="str">
        <f aca="false">IF($A1211="","",IF($B1211&lt;PlanDate,"Late",""))</f>
        <v/>
      </c>
    </row>
    <row r="1212" customFormat="false" ht="15" hidden="false" customHeight="false" outlineLevel="0" collapsed="false">
      <c r="A1212" s="11"/>
      <c r="B1212" s="6"/>
      <c r="C1212" s="11"/>
      <c r="D1212" s="11"/>
      <c r="E1212" s="8" t="str">
        <f aca="false">IF($A1212="","",IF($B1212&lt;PlanDate,"Late",""))</f>
        <v/>
      </c>
    </row>
    <row r="1213" customFormat="false" ht="15" hidden="false" customHeight="false" outlineLevel="0" collapsed="false">
      <c r="A1213" s="11"/>
      <c r="B1213" s="6"/>
      <c r="C1213" s="11"/>
      <c r="D1213" s="11"/>
      <c r="E1213" s="8" t="str">
        <f aca="false">IF($A1213="","",IF($B1213&lt;PlanDate,"Late",""))</f>
        <v/>
      </c>
    </row>
    <row r="1214" customFormat="false" ht="15" hidden="false" customHeight="false" outlineLevel="0" collapsed="false">
      <c r="A1214" s="11"/>
      <c r="B1214" s="6"/>
      <c r="C1214" s="11"/>
      <c r="D1214" s="11"/>
      <c r="E1214" s="8" t="str">
        <f aca="false">IF($A1214="","",IF($B1214&lt;PlanDate,"Late",""))</f>
        <v/>
      </c>
    </row>
    <row r="1215" customFormat="false" ht="15" hidden="false" customHeight="false" outlineLevel="0" collapsed="false">
      <c r="A1215" s="11"/>
      <c r="B1215" s="6"/>
      <c r="C1215" s="11"/>
      <c r="D1215" s="11"/>
      <c r="E1215" s="8" t="str">
        <f aca="false">IF($A1215="","",IF($B1215&lt;PlanDate,"Late",""))</f>
        <v/>
      </c>
    </row>
    <row r="1216" customFormat="false" ht="15" hidden="false" customHeight="false" outlineLevel="0" collapsed="false">
      <c r="A1216" s="11"/>
      <c r="B1216" s="6"/>
      <c r="C1216" s="11"/>
      <c r="D1216" s="11"/>
      <c r="E1216" s="8" t="str">
        <f aca="false">IF($A1216="","",IF($B1216&lt;PlanDate,"Late",""))</f>
        <v/>
      </c>
    </row>
    <row r="1217" customFormat="false" ht="15" hidden="false" customHeight="false" outlineLevel="0" collapsed="false">
      <c r="A1217" s="11"/>
      <c r="B1217" s="6"/>
      <c r="C1217" s="11"/>
      <c r="D1217" s="11"/>
      <c r="E1217" s="8" t="str">
        <f aca="false">IF($A1217="","",IF($B1217&lt;PlanDate,"Late",""))</f>
        <v/>
      </c>
    </row>
    <row r="1218" customFormat="false" ht="15" hidden="false" customHeight="false" outlineLevel="0" collapsed="false">
      <c r="A1218" s="11"/>
      <c r="B1218" s="6"/>
      <c r="C1218" s="11"/>
      <c r="D1218" s="11"/>
      <c r="E1218" s="8" t="str">
        <f aca="false">IF($A1218="","",IF($B1218&lt;PlanDate,"Late",""))</f>
        <v/>
      </c>
    </row>
    <row r="1219" customFormat="false" ht="15" hidden="false" customHeight="false" outlineLevel="0" collapsed="false">
      <c r="A1219" s="11"/>
      <c r="B1219" s="6"/>
      <c r="C1219" s="11"/>
      <c r="D1219" s="11"/>
      <c r="E1219" s="8" t="str">
        <f aca="false">IF($A1219="","",IF($B1219&lt;PlanDate,"Late",""))</f>
        <v/>
      </c>
    </row>
    <row r="1220" customFormat="false" ht="15" hidden="false" customHeight="false" outlineLevel="0" collapsed="false">
      <c r="A1220" s="11"/>
      <c r="B1220" s="6"/>
      <c r="C1220" s="11"/>
      <c r="D1220" s="11"/>
      <c r="E1220" s="8" t="str">
        <f aca="false">IF($A1220="","",IF($B1220&lt;PlanDate,"Late",""))</f>
        <v/>
      </c>
    </row>
    <row r="1221" customFormat="false" ht="15" hidden="false" customHeight="false" outlineLevel="0" collapsed="false">
      <c r="A1221" s="11"/>
      <c r="B1221" s="6"/>
      <c r="C1221" s="11"/>
      <c r="D1221" s="11"/>
      <c r="E1221" s="8" t="str">
        <f aca="false">IF($A1221="","",IF($B1221&lt;PlanDate,"Late",""))</f>
        <v/>
      </c>
    </row>
    <row r="1222" customFormat="false" ht="15" hidden="false" customHeight="false" outlineLevel="0" collapsed="false">
      <c r="A1222" s="11"/>
      <c r="B1222" s="6"/>
      <c r="C1222" s="11"/>
      <c r="D1222" s="11"/>
      <c r="E1222" s="8" t="str">
        <f aca="false">IF($A1222="","",IF($B1222&lt;PlanDate,"Late",""))</f>
        <v/>
      </c>
    </row>
    <row r="1223" customFormat="false" ht="15" hidden="false" customHeight="false" outlineLevel="0" collapsed="false">
      <c r="A1223" s="11"/>
      <c r="B1223" s="6"/>
      <c r="C1223" s="11"/>
      <c r="D1223" s="11"/>
      <c r="E1223" s="8" t="str">
        <f aca="false">IF($A1223="","",IF($B1223&lt;PlanDate,"Late",""))</f>
        <v/>
      </c>
    </row>
    <row r="1224" customFormat="false" ht="15" hidden="false" customHeight="false" outlineLevel="0" collapsed="false">
      <c r="A1224" s="11"/>
      <c r="B1224" s="6"/>
      <c r="C1224" s="11"/>
      <c r="D1224" s="11"/>
      <c r="E1224" s="8" t="str">
        <f aca="false">IF($A1224="","",IF($B1224&lt;PlanDate,"Late",""))</f>
        <v/>
      </c>
    </row>
    <row r="1225" customFormat="false" ht="15" hidden="false" customHeight="false" outlineLevel="0" collapsed="false">
      <c r="A1225" s="11"/>
      <c r="B1225" s="6"/>
      <c r="C1225" s="11"/>
      <c r="D1225" s="11"/>
      <c r="E1225" s="8" t="str">
        <f aca="false">IF($A1225="","",IF($B1225&lt;PlanDate,"Late",""))</f>
        <v/>
      </c>
    </row>
    <row r="1226" customFormat="false" ht="15" hidden="false" customHeight="false" outlineLevel="0" collapsed="false">
      <c r="A1226" s="11"/>
      <c r="B1226" s="6"/>
      <c r="C1226" s="11"/>
      <c r="D1226" s="11"/>
      <c r="E1226" s="8" t="str">
        <f aca="false">IF($A1226="","",IF($B1226&lt;PlanDate,"Late",""))</f>
        <v/>
      </c>
    </row>
    <row r="1227" customFormat="false" ht="15" hidden="false" customHeight="false" outlineLevel="0" collapsed="false">
      <c r="A1227" s="11"/>
      <c r="B1227" s="6"/>
      <c r="C1227" s="11"/>
      <c r="D1227" s="11"/>
      <c r="E1227" s="8" t="str">
        <f aca="false">IF($A1227="","",IF($B1227&lt;PlanDate,"Late",""))</f>
        <v/>
      </c>
    </row>
    <row r="1228" customFormat="false" ht="15" hidden="false" customHeight="false" outlineLevel="0" collapsed="false">
      <c r="A1228" s="11"/>
      <c r="B1228" s="6"/>
      <c r="C1228" s="11"/>
      <c r="D1228" s="11"/>
      <c r="E1228" s="8" t="str">
        <f aca="false">IF($A1228="","",IF($B1228&lt;PlanDate,"Late",""))</f>
        <v/>
      </c>
    </row>
    <row r="1229" customFormat="false" ht="15" hidden="false" customHeight="false" outlineLevel="0" collapsed="false">
      <c r="A1229" s="11"/>
      <c r="B1229" s="6"/>
      <c r="C1229" s="11"/>
      <c r="D1229" s="11"/>
      <c r="E1229" s="8" t="str">
        <f aca="false">IF($A1229="","",IF($B1229&lt;PlanDate,"Late",""))</f>
        <v/>
      </c>
    </row>
    <row r="1230" customFormat="false" ht="15" hidden="false" customHeight="false" outlineLevel="0" collapsed="false">
      <c r="A1230" s="11"/>
      <c r="B1230" s="6"/>
      <c r="C1230" s="11"/>
      <c r="D1230" s="11"/>
      <c r="E1230" s="8" t="str">
        <f aca="false">IF($A1230="","",IF($B1230&lt;PlanDate,"Late",""))</f>
        <v/>
      </c>
    </row>
    <row r="1231" customFormat="false" ht="15" hidden="false" customHeight="false" outlineLevel="0" collapsed="false">
      <c r="A1231" s="11"/>
      <c r="B1231" s="6"/>
      <c r="C1231" s="11"/>
      <c r="D1231" s="11"/>
      <c r="E1231" s="8" t="str">
        <f aca="false">IF($A1231="","",IF($B1231&lt;PlanDate,"Late",""))</f>
        <v/>
      </c>
    </row>
    <row r="1232" customFormat="false" ht="15" hidden="false" customHeight="false" outlineLevel="0" collapsed="false">
      <c r="A1232" s="11"/>
      <c r="B1232" s="6"/>
      <c r="C1232" s="11"/>
      <c r="D1232" s="11"/>
      <c r="E1232" s="8" t="str">
        <f aca="false">IF($A1232="","",IF($B1232&lt;PlanDate,"Late",""))</f>
        <v/>
      </c>
    </row>
    <row r="1233" customFormat="false" ht="15" hidden="false" customHeight="false" outlineLevel="0" collapsed="false">
      <c r="A1233" s="11"/>
      <c r="B1233" s="6"/>
      <c r="C1233" s="11"/>
      <c r="D1233" s="11"/>
      <c r="E1233" s="8" t="str">
        <f aca="false">IF($A1233="","",IF($B1233&lt;PlanDate,"Late",""))</f>
        <v/>
      </c>
    </row>
    <row r="1234" customFormat="false" ht="15" hidden="false" customHeight="false" outlineLevel="0" collapsed="false">
      <c r="A1234" s="11"/>
      <c r="B1234" s="6"/>
      <c r="C1234" s="11"/>
      <c r="D1234" s="11"/>
      <c r="E1234" s="8" t="str">
        <f aca="false">IF($A1234="","",IF($B1234&lt;PlanDate,"Late",""))</f>
        <v/>
      </c>
    </row>
    <row r="1235" customFormat="false" ht="15" hidden="false" customHeight="false" outlineLevel="0" collapsed="false">
      <c r="A1235" s="11"/>
      <c r="B1235" s="6"/>
      <c r="C1235" s="11"/>
      <c r="D1235" s="11"/>
      <c r="E1235" s="8" t="str">
        <f aca="false">IF($A1235="","",IF($B1235&lt;PlanDate,"Late",""))</f>
        <v/>
      </c>
    </row>
    <row r="1236" customFormat="false" ht="15" hidden="false" customHeight="false" outlineLevel="0" collapsed="false">
      <c r="A1236" s="11"/>
      <c r="B1236" s="6"/>
      <c r="C1236" s="11"/>
      <c r="D1236" s="11"/>
      <c r="E1236" s="8" t="str">
        <f aca="false">IF($A1236="","",IF($B1236&lt;PlanDate,"Late",""))</f>
        <v/>
      </c>
    </row>
    <row r="1237" customFormat="false" ht="15" hidden="false" customHeight="false" outlineLevel="0" collapsed="false">
      <c r="A1237" s="11"/>
      <c r="B1237" s="6"/>
      <c r="C1237" s="11"/>
      <c r="D1237" s="11"/>
      <c r="E1237" s="8" t="str">
        <f aca="false">IF($A1237="","",IF($B1237&lt;PlanDate,"Late",""))</f>
        <v/>
      </c>
    </row>
    <row r="1238" customFormat="false" ht="15" hidden="false" customHeight="false" outlineLevel="0" collapsed="false">
      <c r="A1238" s="11"/>
      <c r="B1238" s="6"/>
      <c r="C1238" s="11"/>
      <c r="D1238" s="11"/>
      <c r="E1238" s="8" t="str">
        <f aca="false">IF($A1238="","",IF($B1238&lt;PlanDate,"Late",""))</f>
        <v/>
      </c>
    </row>
    <row r="1239" customFormat="false" ht="15" hidden="false" customHeight="false" outlineLevel="0" collapsed="false">
      <c r="A1239" s="11"/>
      <c r="B1239" s="6"/>
      <c r="C1239" s="11"/>
      <c r="D1239" s="11"/>
      <c r="E1239" s="8" t="str">
        <f aca="false">IF($A1239="","",IF($B1239&lt;PlanDate,"Late",""))</f>
        <v/>
      </c>
    </row>
    <row r="1240" customFormat="false" ht="15" hidden="false" customHeight="false" outlineLevel="0" collapsed="false">
      <c r="A1240" s="11"/>
      <c r="B1240" s="6"/>
      <c r="C1240" s="11"/>
      <c r="D1240" s="11"/>
      <c r="E1240" s="8" t="str">
        <f aca="false">IF($A1240="","",IF($B1240&lt;PlanDate,"Late",""))</f>
        <v/>
      </c>
    </row>
    <row r="1241" customFormat="false" ht="15" hidden="false" customHeight="false" outlineLevel="0" collapsed="false">
      <c r="A1241" s="11"/>
      <c r="B1241" s="6"/>
      <c r="C1241" s="11"/>
      <c r="D1241" s="11"/>
      <c r="E1241" s="8" t="str">
        <f aca="false">IF($A1241="","",IF($B1241&lt;PlanDate,"Late",""))</f>
        <v/>
      </c>
    </row>
    <row r="1242" customFormat="false" ht="15" hidden="false" customHeight="false" outlineLevel="0" collapsed="false">
      <c r="A1242" s="11"/>
      <c r="B1242" s="6"/>
      <c r="C1242" s="11"/>
      <c r="D1242" s="11"/>
      <c r="E1242" s="8" t="str">
        <f aca="false">IF($A1242="","",IF($B1242&lt;PlanDate,"Late",""))</f>
        <v/>
      </c>
    </row>
    <row r="1243" customFormat="false" ht="15" hidden="false" customHeight="false" outlineLevel="0" collapsed="false">
      <c r="A1243" s="11"/>
      <c r="B1243" s="6"/>
      <c r="C1243" s="11"/>
      <c r="D1243" s="11"/>
      <c r="E1243" s="8" t="str">
        <f aca="false">IF($A1243="","",IF($B1243&lt;PlanDate,"Late",""))</f>
        <v/>
      </c>
    </row>
    <row r="1244" customFormat="false" ht="15" hidden="false" customHeight="false" outlineLevel="0" collapsed="false">
      <c r="A1244" s="11"/>
      <c r="B1244" s="6"/>
      <c r="C1244" s="11"/>
      <c r="D1244" s="11"/>
      <c r="E1244" s="8" t="str">
        <f aca="false">IF($A1244="","",IF($B1244&lt;PlanDate,"Late",""))</f>
        <v/>
      </c>
    </row>
    <row r="1245" customFormat="false" ht="15" hidden="false" customHeight="false" outlineLevel="0" collapsed="false">
      <c r="A1245" s="11"/>
      <c r="B1245" s="6"/>
      <c r="C1245" s="11"/>
      <c r="D1245" s="11"/>
      <c r="E1245" s="8" t="str">
        <f aca="false">IF($A1245="","",IF($B1245&lt;PlanDate,"Late",""))</f>
        <v/>
      </c>
    </row>
    <row r="1246" customFormat="false" ht="15" hidden="false" customHeight="false" outlineLevel="0" collapsed="false">
      <c r="A1246" s="11"/>
      <c r="B1246" s="6"/>
      <c r="C1246" s="11"/>
      <c r="D1246" s="11"/>
      <c r="E1246" s="8" t="str">
        <f aca="false">IF($A1246="","",IF($B1246&lt;PlanDate,"Late",""))</f>
        <v/>
      </c>
    </row>
    <row r="1247" customFormat="false" ht="15" hidden="false" customHeight="false" outlineLevel="0" collapsed="false">
      <c r="A1247" s="11"/>
      <c r="B1247" s="6"/>
      <c r="C1247" s="11"/>
      <c r="D1247" s="11"/>
      <c r="E1247" s="8" t="str">
        <f aca="false">IF($A1247="","",IF($B1247&lt;PlanDate,"Late",""))</f>
        <v/>
      </c>
    </row>
    <row r="1248" customFormat="false" ht="15" hidden="false" customHeight="false" outlineLevel="0" collapsed="false">
      <c r="A1248" s="11"/>
      <c r="B1248" s="6"/>
      <c r="C1248" s="11"/>
      <c r="D1248" s="11"/>
      <c r="E1248" s="8" t="str">
        <f aca="false">IF($A1248="","",IF($B1248&lt;PlanDate,"Late",""))</f>
        <v/>
      </c>
    </row>
    <row r="1249" customFormat="false" ht="15" hidden="false" customHeight="false" outlineLevel="0" collapsed="false">
      <c r="A1249" s="11"/>
      <c r="B1249" s="6"/>
      <c r="C1249" s="11"/>
      <c r="D1249" s="11"/>
      <c r="E1249" s="8" t="str">
        <f aca="false">IF($A1249="","",IF($B1249&lt;PlanDate,"Late",""))</f>
        <v/>
      </c>
    </row>
    <row r="1250" customFormat="false" ht="15" hidden="false" customHeight="false" outlineLevel="0" collapsed="false">
      <c r="A1250" s="11"/>
      <c r="B1250" s="6"/>
      <c r="C1250" s="11"/>
      <c r="D1250" s="11"/>
      <c r="E1250" s="8" t="str">
        <f aca="false">IF($A1250="","",IF($B1250&lt;PlanDate,"Late",""))</f>
        <v/>
      </c>
    </row>
    <row r="1251" customFormat="false" ht="15" hidden="false" customHeight="false" outlineLevel="0" collapsed="false">
      <c r="A1251" s="11"/>
      <c r="B1251" s="6"/>
      <c r="C1251" s="11"/>
      <c r="D1251" s="11"/>
      <c r="E1251" s="8" t="str">
        <f aca="false">IF($A1251="","",IF($B1251&lt;PlanDate,"Late",""))</f>
        <v/>
      </c>
    </row>
    <row r="1252" customFormat="false" ht="15" hidden="false" customHeight="false" outlineLevel="0" collapsed="false">
      <c r="A1252" s="11"/>
      <c r="B1252" s="6"/>
      <c r="C1252" s="11"/>
      <c r="D1252" s="11"/>
      <c r="E1252" s="8" t="str">
        <f aca="false">IF($A1252="","",IF($B1252&lt;PlanDate,"Late",""))</f>
        <v/>
      </c>
    </row>
    <row r="1253" customFormat="false" ht="15" hidden="false" customHeight="false" outlineLevel="0" collapsed="false">
      <c r="A1253" s="11"/>
      <c r="B1253" s="6"/>
      <c r="C1253" s="11"/>
      <c r="D1253" s="11"/>
      <c r="E1253" s="8" t="str">
        <f aca="false">IF($A1253="","",IF($B1253&lt;PlanDate,"Late",""))</f>
        <v/>
      </c>
    </row>
    <row r="1254" customFormat="false" ht="15" hidden="false" customHeight="false" outlineLevel="0" collapsed="false">
      <c r="A1254" s="11"/>
      <c r="B1254" s="6"/>
      <c r="C1254" s="11"/>
      <c r="D1254" s="11"/>
      <c r="E1254" s="8" t="str">
        <f aca="false">IF($A1254="","",IF($B1254&lt;PlanDate,"Late",""))</f>
        <v/>
      </c>
    </row>
    <row r="1255" customFormat="false" ht="15" hidden="false" customHeight="false" outlineLevel="0" collapsed="false">
      <c r="A1255" s="11"/>
      <c r="B1255" s="6"/>
      <c r="C1255" s="11"/>
      <c r="D1255" s="11"/>
      <c r="E1255" s="8" t="str">
        <f aca="false">IF($A1255="","",IF($B1255&lt;PlanDate,"Late",""))</f>
        <v/>
      </c>
    </row>
    <row r="1256" customFormat="false" ht="15" hidden="false" customHeight="false" outlineLevel="0" collapsed="false">
      <c r="A1256" s="11"/>
      <c r="B1256" s="6"/>
      <c r="C1256" s="11"/>
      <c r="D1256" s="11"/>
      <c r="E1256" s="8" t="str">
        <f aca="false">IF($A1256="","",IF($B1256&lt;PlanDate,"Late",""))</f>
        <v/>
      </c>
    </row>
    <row r="1257" customFormat="false" ht="15" hidden="false" customHeight="false" outlineLevel="0" collapsed="false">
      <c r="A1257" s="11"/>
      <c r="B1257" s="6"/>
      <c r="C1257" s="11"/>
      <c r="D1257" s="11"/>
      <c r="E1257" s="8" t="str">
        <f aca="false">IF($A1257="","",IF($B1257&lt;PlanDate,"Late",""))</f>
        <v/>
      </c>
    </row>
    <row r="1258" customFormat="false" ht="15" hidden="false" customHeight="false" outlineLevel="0" collapsed="false">
      <c r="A1258" s="11"/>
      <c r="B1258" s="6"/>
      <c r="C1258" s="11"/>
      <c r="D1258" s="11"/>
      <c r="E1258" s="8" t="str">
        <f aca="false">IF($A1258="","",IF($B1258&lt;PlanDate,"Late",""))</f>
        <v/>
      </c>
    </row>
    <row r="1259" customFormat="false" ht="15" hidden="false" customHeight="false" outlineLevel="0" collapsed="false">
      <c r="A1259" s="11"/>
      <c r="B1259" s="6"/>
      <c r="C1259" s="11"/>
      <c r="D1259" s="11"/>
      <c r="E1259" s="8" t="str">
        <f aca="false">IF($A1259="","",IF($B1259&lt;PlanDate,"Late",""))</f>
        <v/>
      </c>
    </row>
    <row r="1260" customFormat="false" ht="15" hidden="false" customHeight="false" outlineLevel="0" collapsed="false">
      <c r="A1260" s="11"/>
      <c r="B1260" s="6"/>
      <c r="C1260" s="11"/>
      <c r="D1260" s="11"/>
      <c r="E1260" s="8" t="str">
        <f aca="false">IF($A1260="","",IF($B1260&lt;PlanDate,"Late",""))</f>
        <v/>
      </c>
    </row>
    <row r="1261" customFormat="false" ht="15" hidden="false" customHeight="false" outlineLevel="0" collapsed="false">
      <c r="A1261" s="11"/>
      <c r="B1261" s="6"/>
      <c r="C1261" s="11"/>
      <c r="D1261" s="11"/>
      <c r="E1261" s="8" t="str">
        <f aca="false">IF($A1261="","",IF($B1261&lt;PlanDate,"Late",""))</f>
        <v/>
      </c>
    </row>
    <row r="1262" customFormat="false" ht="15" hidden="false" customHeight="false" outlineLevel="0" collapsed="false">
      <c r="A1262" s="11"/>
      <c r="B1262" s="6"/>
      <c r="C1262" s="11"/>
      <c r="D1262" s="11"/>
      <c r="E1262" s="8" t="str">
        <f aca="false">IF($A1262="","",IF($B1262&lt;PlanDate,"Late",""))</f>
        <v/>
      </c>
    </row>
    <row r="1263" customFormat="false" ht="15" hidden="false" customHeight="false" outlineLevel="0" collapsed="false">
      <c r="A1263" s="11"/>
      <c r="B1263" s="6"/>
      <c r="C1263" s="11"/>
      <c r="D1263" s="11"/>
      <c r="E1263" s="8" t="str">
        <f aca="false">IF($A1263="","",IF($B1263&lt;PlanDate,"Late",""))</f>
        <v/>
      </c>
    </row>
    <row r="1264" customFormat="false" ht="15" hidden="false" customHeight="false" outlineLevel="0" collapsed="false">
      <c r="A1264" s="11"/>
      <c r="B1264" s="6"/>
      <c r="C1264" s="11"/>
      <c r="D1264" s="11"/>
      <c r="E1264" s="8" t="str">
        <f aca="false">IF($A1264="","",IF($B1264&lt;PlanDate,"Late",""))</f>
        <v/>
      </c>
    </row>
    <row r="1265" customFormat="false" ht="15" hidden="false" customHeight="false" outlineLevel="0" collapsed="false">
      <c r="A1265" s="11"/>
      <c r="B1265" s="6"/>
      <c r="C1265" s="11"/>
      <c r="D1265" s="11"/>
      <c r="E1265" s="8" t="str">
        <f aca="false">IF($A1265="","",IF($B1265&lt;PlanDate,"Late",""))</f>
        <v/>
      </c>
    </row>
    <row r="1266" customFormat="false" ht="15" hidden="false" customHeight="false" outlineLevel="0" collapsed="false">
      <c r="A1266" s="11"/>
      <c r="B1266" s="6"/>
      <c r="C1266" s="11"/>
      <c r="D1266" s="11"/>
      <c r="E1266" s="8" t="str">
        <f aca="false">IF($A1266="","",IF($B1266&lt;PlanDate,"Late",""))</f>
        <v/>
      </c>
    </row>
    <row r="1267" customFormat="false" ht="15" hidden="false" customHeight="false" outlineLevel="0" collapsed="false">
      <c r="A1267" s="11"/>
      <c r="B1267" s="6"/>
      <c r="C1267" s="11"/>
      <c r="D1267" s="11"/>
      <c r="E1267" s="8" t="str">
        <f aca="false">IF($A1267="","",IF($B1267&lt;PlanDate,"Late",""))</f>
        <v/>
      </c>
    </row>
    <row r="1268" customFormat="false" ht="15" hidden="false" customHeight="false" outlineLevel="0" collapsed="false">
      <c r="A1268" s="11"/>
      <c r="B1268" s="6"/>
      <c r="C1268" s="11"/>
      <c r="D1268" s="11"/>
      <c r="E1268" s="8" t="str">
        <f aca="false">IF($A1268="","",IF($B1268&lt;PlanDate,"Late",""))</f>
        <v/>
      </c>
    </row>
    <row r="1269" customFormat="false" ht="15" hidden="false" customHeight="false" outlineLevel="0" collapsed="false">
      <c r="A1269" s="11"/>
      <c r="B1269" s="6"/>
      <c r="C1269" s="11"/>
      <c r="D1269" s="11"/>
      <c r="E1269" s="8" t="str">
        <f aca="false">IF($A1269="","",IF($B1269&lt;PlanDate,"Late",""))</f>
        <v/>
      </c>
    </row>
    <row r="1270" customFormat="false" ht="15" hidden="false" customHeight="false" outlineLevel="0" collapsed="false">
      <c r="A1270" s="11"/>
      <c r="B1270" s="6"/>
      <c r="C1270" s="11"/>
      <c r="D1270" s="11"/>
      <c r="E1270" s="8" t="str">
        <f aca="false">IF($A1270="","",IF($B1270&lt;PlanDate,"Late",""))</f>
        <v/>
      </c>
    </row>
    <row r="1271" customFormat="false" ht="15" hidden="false" customHeight="false" outlineLevel="0" collapsed="false">
      <c r="A1271" s="11"/>
      <c r="B1271" s="6"/>
      <c r="C1271" s="11"/>
      <c r="D1271" s="11"/>
      <c r="E1271" s="8" t="str">
        <f aca="false">IF($A1271="","",IF($B1271&lt;PlanDate,"Late",""))</f>
        <v/>
      </c>
    </row>
    <row r="1272" customFormat="false" ht="15" hidden="false" customHeight="false" outlineLevel="0" collapsed="false">
      <c r="A1272" s="11"/>
      <c r="B1272" s="6"/>
      <c r="C1272" s="11"/>
      <c r="D1272" s="11"/>
      <c r="E1272" s="8" t="str">
        <f aca="false">IF($A1272="","",IF($B1272&lt;PlanDate,"Late",""))</f>
        <v/>
      </c>
    </row>
    <row r="1273" customFormat="false" ht="15" hidden="false" customHeight="false" outlineLevel="0" collapsed="false">
      <c r="A1273" s="11"/>
      <c r="B1273" s="6"/>
      <c r="C1273" s="11"/>
      <c r="D1273" s="11"/>
      <c r="E1273" s="8" t="str">
        <f aca="false">IF($A1273="","",IF($B1273&lt;PlanDate,"Late",""))</f>
        <v/>
      </c>
    </row>
    <row r="1274" customFormat="false" ht="15" hidden="false" customHeight="false" outlineLevel="0" collapsed="false">
      <c r="A1274" s="11"/>
      <c r="B1274" s="6"/>
      <c r="C1274" s="11"/>
      <c r="D1274" s="11"/>
      <c r="E1274" s="8" t="str">
        <f aca="false">IF($A1274="","",IF($B1274&lt;PlanDate,"Late",""))</f>
        <v/>
      </c>
    </row>
    <row r="1275" customFormat="false" ht="15" hidden="false" customHeight="false" outlineLevel="0" collapsed="false">
      <c r="A1275" s="11"/>
      <c r="B1275" s="6"/>
      <c r="C1275" s="11"/>
      <c r="D1275" s="11"/>
      <c r="E1275" s="8" t="str">
        <f aca="false">IF($A1275="","",IF($B1275&lt;PlanDate,"Late",""))</f>
        <v/>
      </c>
    </row>
    <row r="1276" customFormat="false" ht="15" hidden="false" customHeight="false" outlineLevel="0" collapsed="false">
      <c r="A1276" s="11"/>
      <c r="B1276" s="6"/>
      <c r="C1276" s="11"/>
      <c r="D1276" s="11"/>
      <c r="E1276" s="8" t="str">
        <f aca="false">IF($A1276="","",IF($B1276&lt;PlanDate,"Late",""))</f>
        <v/>
      </c>
    </row>
    <row r="1277" customFormat="false" ht="15" hidden="false" customHeight="false" outlineLevel="0" collapsed="false">
      <c r="A1277" s="11"/>
      <c r="B1277" s="6"/>
      <c r="C1277" s="11"/>
      <c r="D1277" s="11"/>
      <c r="E1277" s="8" t="str">
        <f aca="false">IF($A1277="","",IF($B1277&lt;PlanDate,"Late",""))</f>
        <v/>
      </c>
    </row>
    <row r="1278" customFormat="false" ht="15" hidden="false" customHeight="false" outlineLevel="0" collapsed="false">
      <c r="A1278" s="11"/>
      <c r="B1278" s="6"/>
      <c r="C1278" s="11"/>
      <c r="D1278" s="11"/>
      <c r="E1278" s="8" t="str">
        <f aca="false">IF($A1278="","",IF($B1278&lt;PlanDate,"Late",""))</f>
        <v/>
      </c>
    </row>
    <row r="1279" customFormat="false" ht="15" hidden="false" customHeight="false" outlineLevel="0" collapsed="false">
      <c r="A1279" s="11"/>
      <c r="B1279" s="6"/>
      <c r="C1279" s="11"/>
      <c r="D1279" s="11"/>
      <c r="E1279" s="8" t="str">
        <f aca="false">IF($A1279="","",IF($B1279&lt;PlanDate,"Late",""))</f>
        <v/>
      </c>
    </row>
    <row r="1280" customFormat="false" ht="15" hidden="false" customHeight="false" outlineLevel="0" collapsed="false">
      <c r="A1280" s="11"/>
      <c r="B1280" s="6"/>
      <c r="C1280" s="11"/>
      <c r="D1280" s="11"/>
      <c r="E1280" s="8" t="str">
        <f aca="false">IF($A1280="","",IF($B1280&lt;PlanDate,"Late",""))</f>
        <v/>
      </c>
    </row>
    <row r="1281" customFormat="false" ht="15" hidden="false" customHeight="false" outlineLevel="0" collapsed="false">
      <c r="A1281" s="11"/>
      <c r="B1281" s="6"/>
      <c r="C1281" s="11"/>
      <c r="D1281" s="11"/>
      <c r="E1281" s="8" t="str">
        <f aca="false">IF($A1281="","",IF($B1281&lt;PlanDate,"Late",""))</f>
        <v/>
      </c>
    </row>
    <row r="1282" customFormat="false" ht="15" hidden="false" customHeight="false" outlineLevel="0" collapsed="false">
      <c r="A1282" s="11"/>
      <c r="B1282" s="6"/>
      <c r="C1282" s="11"/>
      <c r="D1282" s="11"/>
      <c r="E1282" s="8" t="str">
        <f aca="false">IF($A1282="","",IF($B1282&lt;PlanDate,"Late",""))</f>
        <v/>
      </c>
    </row>
    <row r="1283" customFormat="false" ht="15" hidden="false" customHeight="false" outlineLevel="0" collapsed="false">
      <c r="A1283" s="11"/>
      <c r="B1283" s="6"/>
      <c r="C1283" s="11"/>
      <c r="D1283" s="11"/>
      <c r="E1283" s="8" t="str">
        <f aca="false">IF($A1283="","",IF($B1283&lt;PlanDate,"Late",""))</f>
        <v/>
      </c>
    </row>
    <row r="1284" customFormat="false" ht="15" hidden="false" customHeight="false" outlineLevel="0" collapsed="false">
      <c r="A1284" s="11"/>
      <c r="B1284" s="6"/>
      <c r="C1284" s="11"/>
      <c r="D1284" s="11"/>
      <c r="E1284" s="8" t="str">
        <f aca="false">IF($A1284="","",IF($B1284&lt;PlanDate,"Late",""))</f>
        <v/>
      </c>
    </row>
    <row r="1285" customFormat="false" ht="15" hidden="false" customHeight="false" outlineLevel="0" collapsed="false">
      <c r="A1285" s="11"/>
      <c r="B1285" s="6"/>
      <c r="C1285" s="11"/>
      <c r="D1285" s="11"/>
      <c r="E1285" s="8" t="str">
        <f aca="false">IF($A1285="","",IF($B1285&lt;PlanDate,"Late",""))</f>
        <v/>
      </c>
    </row>
    <row r="1286" customFormat="false" ht="15" hidden="false" customHeight="false" outlineLevel="0" collapsed="false">
      <c r="A1286" s="11"/>
      <c r="B1286" s="6"/>
      <c r="C1286" s="11"/>
      <c r="D1286" s="11"/>
      <c r="E1286" s="8" t="str">
        <f aca="false">IF($A1286="","",IF($B1286&lt;PlanDate,"Late",""))</f>
        <v/>
      </c>
    </row>
    <row r="1287" customFormat="false" ht="15" hidden="false" customHeight="false" outlineLevel="0" collapsed="false">
      <c r="A1287" s="11"/>
      <c r="B1287" s="6"/>
      <c r="C1287" s="11"/>
      <c r="D1287" s="11"/>
      <c r="E1287" s="8" t="str">
        <f aca="false">IF($A1287="","",IF($B1287&lt;PlanDate,"Late",""))</f>
        <v/>
      </c>
    </row>
    <row r="1288" customFormat="false" ht="15" hidden="false" customHeight="false" outlineLevel="0" collapsed="false">
      <c r="A1288" s="11"/>
      <c r="B1288" s="6"/>
      <c r="C1288" s="11"/>
      <c r="D1288" s="11"/>
      <c r="E1288" s="8" t="str">
        <f aca="false">IF($A1288="","",IF($B1288&lt;PlanDate,"Late",""))</f>
        <v/>
      </c>
    </row>
    <row r="1289" customFormat="false" ht="15" hidden="false" customHeight="false" outlineLevel="0" collapsed="false">
      <c r="A1289" s="11"/>
      <c r="B1289" s="6"/>
      <c r="C1289" s="11"/>
      <c r="D1289" s="11"/>
      <c r="E1289" s="8" t="str">
        <f aca="false">IF($A1289="","",IF($B1289&lt;PlanDate,"Late",""))</f>
        <v/>
      </c>
    </row>
    <row r="1290" customFormat="false" ht="15" hidden="false" customHeight="false" outlineLevel="0" collapsed="false">
      <c r="A1290" s="11"/>
      <c r="B1290" s="6"/>
      <c r="C1290" s="11"/>
      <c r="D1290" s="11"/>
      <c r="E1290" s="8" t="str">
        <f aca="false">IF($A1290="","",IF($B1290&lt;PlanDate,"Late",""))</f>
        <v/>
      </c>
    </row>
    <row r="1291" customFormat="false" ht="15" hidden="false" customHeight="false" outlineLevel="0" collapsed="false">
      <c r="A1291" s="11"/>
      <c r="B1291" s="6"/>
      <c r="C1291" s="11"/>
      <c r="D1291" s="11"/>
      <c r="E1291" s="8" t="str">
        <f aca="false">IF($A1291="","",IF($B1291&lt;PlanDate,"Late",""))</f>
        <v/>
      </c>
    </row>
    <row r="1292" customFormat="false" ht="15" hidden="false" customHeight="false" outlineLevel="0" collapsed="false">
      <c r="A1292" s="11"/>
      <c r="B1292" s="6"/>
      <c r="C1292" s="11"/>
      <c r="D1292" s="11"/>
      <c r="E1292" s="8" t="str">
        <f aca="false">IF($A1292="","",IF($B1292&lt;PlanDate,"Late",""))</f>
        <v/>
      </c>
    </row>
    <row r="1293" customFormat="false" ht="15" hidden="false" customHeight="false" outlineLevel="0" collapsed="false">
      <c r="A1293" s="11"/>
      <c r="B1293" s="6"/>
      <c r="C1293" s="11"/>
      <c r="D1293" s="11"/>
      <c r="E1293" s="8" t="str">
        <f aca="false">IF($A1293="","",IF($B1293&lt;PlanDate,"Late",""))</f>
        <v/>
      </c>
    </row>
    <row r="1294" customFormat="false" ht="15" hidden="false" customHeight="false" outlineLevel="0" collapsed="false">
      <c r="A1294" s="11"/>
      <c r="B1294" s="6"/>
      <c r="C1294" s="11"/>
      <c r="D1294" s="11"/>
      <c r="E1294" s="8" t="str">
        <f aca="false">IF($A1294="","",IF($B1294&lt;PlanDate,"Late",""))</f>
        <v/>
      </c>
    </row>
    <row r="1295" customFormat="false" ht="15" hidden="false" customHeight="false" outlineLevel="0" collapsed="false">
      <c r="A1295" s="11"/>
      <c r="B1295" s="6"/>
      <c r="C1295" s="11"/>
      <c r="D1295" s="11"/>
      <c r="E1295" s="8" t="str">
        <f aca="false">IF($A1295="","",IF($B1295&lt;PlanDate,"Late",""))</f>
        <v/>
      </c>
    </row>
    <row r="1296" customFormat="false" ht="15" hidden="false" customHeight="false" outlineLevel="0" collapsed="false">
      <c r="A1296" s="11"/>
      <c r="B1296" s="6"/>
      <c r="C1296" s="11"/>
      <c r="D1296" s="11"/>
      <c r="E1296" s="8" t="str">
        <f aca="false">IF($A1296="","",IF($B1296&lt;PlanDate,"Late",""))</f>
        <v/>
      </c>
    </row>
    <row r="1297" customFormat="false" ht="15" hidden="false" customHeight="false" outlineLevel="0" collapsed="false">
      <c r="A1297" s="11"/>
      <c r="B1297" s="6"/>
      <c r="C1297" s="11"/>
      <c r="D1297" s="11"/>
      <c r="E1297" s="8" t="str">
        <f aca="false">IF($A1297="","",IF($B1297&lt;PlanDate,"Late",""))</f>
        <v/>
      </c>
    </row>
    <row r="1298" customFormat="false" ht="15" hidden="false" customHeight="false" outlineLevel="0" collapsed="false">
      <c r="A1298" s="11"/>
      <c r="B1298" s="6"/>
      <c r="C1298" s="11"/>
      <c r="D1298" s="11"/>
      <c r="E1298" s="8" t="str">
        <f aca="false">IF($A1298="","",IF($B1298&lt;PlanDate,"Late",""))</f>
        <v/>
      </c>
    </row>
    <row r="1299" customFormat="false" ht="15" hidden="false" customHeight="false" outlineLevel="0" collapsed="false">
      <c r="A1299" s="11"/>
      <c r="B1299" s="6"/>
      <c r="C1299" s="11"/>
      <c r="D1299" s="11"/>
      <c r="E1299" s="8" t="str">
        <f aca="false">IF($A1299="","",IF($B1299&lt;PlanDate,"Late",""))</f>
        <v/>
      </c>
    </row>
    <row r="1300" customFormat="false" ht="15" hidden="false" customHeight="false" outlineLevel="0" collapsed="false">
      <c r="A1300" s="11"/>
      <c r="B1300" s="6"/>
      <c r="C1300" s="11"/>
      <c r="D1300" s="11"/>
      <c r="E1300" s="8" t="str">
        <f aca="false">IF($A1300="","",IF($B1300&lt;PlanDate,"Late",""))</f>
        <v/>
      </c>
    </row>
    <row r="1301" customFormat="false" ht="15" hidden="false" customHeight="false" outlineLevel="0" collapsed="false">
      <c r="A1301" s="11"/>
      <c r="B1301" s="6"/>
      <c r="C1301" s="11"/>
      <c r="D1301" s="11"/>
      <c r="E1301" s="8" t="str">
        <f aca="false">IF($A1301="","",IF($B1301&lt;PlanDate,"Late",""))</f>
        <v/>
      </c>
    </row>
    <row r="1302" customFormat="false" ht="15" hidden="false" customHeight="false" outlineLevel="0" collapsed="false">
      <c r="A1302" s="11"/>
      <c r="B1302" s="6"/>
      <c r="C1302" s="11"/>
      <c r="D1302" s="11"/>
      <c r="E1302" s="8" t="str">
        <f aca="false">IF($A1302="","",IF($B1302&lt;PlanDate,"Late",""))</f>
        <v/>
      </c>
    </row>
    <row r="1303" customFormat="false" ht="15" hidden="false" customHeight="false" outlineLevel="0" collapsed="false">
      <c r="A1303" s="11"/>
      <c r="B1303" s="6"/>
      <c r="C1303" s="11"/>
      <c r="D1303" s="11"/>
      <c r="E1303" s="8" t="str">
        <f aca="false">IF($A1303="","",IF($B1303&lt;PlanDate,"Late",""))</f>
        <v/>
      </c>
    </row>
    <row r="1304" customFormat="false" ht="15" hidden="false" customHeight="false" outlineLevel="0" collapsed="false">
      <c r="A1304" s="11"/>
      <c r="B1304" s="6"/>
      <c r="C1304" s="11"/>
      <c r="D1304" s="11"/>
      <c r="E1304" s="8" t="str">
        <f aca="false">IF($A1304="","",IF($B1304&lt;PlanDate,"Late",""))</f>
        <v/>
      </c>
    </row>
    <row r="1305" customFormat="false" ht="15" hidden="false" customHeight="false" outlineLevel="0" collapsed="false">
      <c r="A1305" s="11"/>
      <c r="B1305" s="6"/>
      <c r="C1305" s="11"/>
      <c r="D1305" s="11"/>
      <c r="E1305" s="8" t="str">
        <f aca="false">IF($A1305="","",IF($B1305&lt;PlanDate,"Late",""))</f>
        <v/>
      </c>
    </row>
    <row r="1306" customFormat="false" ht="15" hidden="false" customHeight="false" outlineLevel="0" collapsed="false">
      <c r="A1306" s="11"/>
      <c r="B1306" s="6"/>
      <c r="C1306" s="11"/>
      <c r="D1306" s="11"/>
      <c r="E1306" s="8" t="str">
        <f aca="false">IF($A1306="","",IF($B1306&lt;PlanDate,"Late",""))</f>
        <v/>
      </c>
    </row>
    <row r="1307" customFormat="false" ht="15" hidden="false" customHeight="false" outlineLevel="0" collapsed="false">
      <c r="A1307" s="11"/>
      <c r="B1307" s="6"/>
      <c r="C1307" s="11"/>
      <c r="D1307" s="11"/>
      <c r="E1307" s="8" t="str">
        <f aca="false">IF($A1307="","",IF($B1307&lt;PlanDate,"Late",""))</f>
        <v/>
      </c>
    </row>
    <row r="1308" customFormat="false" ht="15" hidden="false" customHeight="false" outlineLevel="0" collapsed="false">
      <c r="A1308" s="11"/>
      <c r="B1308" s="6"/>
      <c r="C1308" s="11"/>
      <c r="D1308" s="11"/>
      <c r="E1308" s="8" t="str">
        <f aca="false">IF($A1308="","",IF($B1308&lt;PlanDate,"Late",""))</f>
        <v/>
      </c>
    </row>
    <row r="1309" customFormat="false" ht="15" hidden="false" customHeight="false" outlineLevel="0" collapsed="false">
      <c r="A1309" s="11"/>
      <c r="B1309" s="6"/>
      <c r="C1309" s="11"/>
      <c r="D1309" s="11"/>
      <c r="E1309" s="8" t="str">
        <f aca="false">IF($A1309="","",IF($B1309&lt;PlanDate,"Late",""))</f>
        <v/>
      </c>
    </row>
    <row r="1310" customFormat="false" ht="15" hidden="false" customHeight="false" outlineLevel="0" collapsed="false">
      <c r="A1310" s="11"/>
      <c r="B1310" s="6"/>
      <c r="C1310" s="11"/>
      <c r="D1310" s="11"/>
      <c r="E1310" s="8" t="str">
        <f aca="false">IF($A1310="","",IF($B1310&lt;PlanDate,"Late",""))</f>
        <v/>
      </c>
    </row>
    <row r="1311" customFormat="false" ht="15" hidden="false" customHeight="false" outlineLevel="0" collapsed="false">
      <c r="A1311" s="11"/>
      <c r="B1311" s="6"/>
      <c r="C1311" s="11"/>
      <c r="D1311" s="11"/>
      <c r="E1311" s="8" t="str">
        <f aca="false">IF($A1311="","",IF($B1311&lt;PlanDate,"Late",""))</f>
        <v/>
      </c>
    </row>
    <row r="1312" customFormat="false" ht="15" hidden="false" customHeight="false" outlineLevel="0" collapsed="false">
      <c r="A1312" s="11"/>
      <c r="B1312" s="6"/>
      <c r="C1312" s="11"/>
      <c r="D1312" s="11"/>
      <c r="E1312" s="8" t="str">
        <f aca="false">IF($A1312="","",IF($B1312&lt;PlanDate,"Late",""))</f>
        <v/>
      </c>
    </row>
    <row r="1313" customFormat="false" ht="15" hidden="false" customHeight="false" outlineLevel="0" collapsed="false">
      <c r="A1313" s="11"/>
      <c r="B1313" s="6"/>
      <c r="C1313" s="11"/>
      <c r="D1313" s="11"/>
      <c r="E1313" s="8" t="str">
        <f aca="false">IF($A1313="","",IF($B1313&lt;PlanDate,"Late",""))</f>
        <v/>
      </c>
    </row>
    <row r="1314" customFormat="false" ht="15" hidden="false" customHeight="false" outlineLevel="0" collapsed="false">
      <c r="A1314" s="11"/>
      <c r="B1314" s="6"/>
      <c r="C1314" s="11"/>
      <c r="D1314" s="11"/>
      <c r="E1314" s="8" t="str">
        <f aca="false">IF($A1314="","",IF($B1314&lt;PlanDate,"Late",""))</f>
        <v/>
      </c>
    </row>
    <row r="1315" customFormat="false" ht="15" hidden="false" customHeight="false" outlineLevel="0" collapsed="false">
      <c r="A1315" s="11"/>
      <c r="B1315" s="6"/>
      <c r="C1315" s="11"/>
      <c r="D1315" s="11"/>
      <c r="E1315" s="8" t="str">
        <f aca="false">IF($A1315="","",IF($B1315&lt;PlanDate,"Late",""))</f>
        <v/>
      </c>
    </row>
    <row r="1316" customFormat="false" ht="15" hidden="false" customHeight="false" outlineLevel="0" collapsed="false">
      <c r="A1316" s="11"/>
      <c r="B1316" s="6"/>
      <c r="C1316" s="11"/>
      <c r="D1316" s="11"/>
      <c r="E1316" s="8" t="str">
        <f aca="false">IF($A1316="","",IF($B1316&lt;PlanDate,"Late",""))</f>
        <v/>
      </c>
    </row>
    <row r="1317" customFormat="false" ht="15" hidden="false" customHeight="false" outlineLevel="0" collapsed="false">
      <c r="A1317" s="11"/>
      <c r="B1317" s="6"/>
      <c r="C1317" s="11"/>
      <c r="D1317" s="11"/>
      <c r="E1317" s="8" t="str">
        <f aca="false">IF($A1317="","",IF($B1317&lt;PlanDate,"Late",""))</f>
        <v/>
      </c>
    </row>
    <row r="1318" customFormat="false" ht="15" hidden="false" customHeight="false" outlineLevel="0" collapsed="false">
      <c r="A1318" s="11"/>
      <c r="B1318" s="6"/>
      <c r="C1318" s="11"/>
      <c r="D1318" s="11"/>
      <c r="E1318" s="8" t="str">
        <f aca="false">IF($A1318="","",IF($B1318&lt;PlanDate,"Late",""))</f>
        <v/>
      </c>
    </row>
    <row r="1319" customFormat="false" ht="15" hidden="false" customHeight="false" outlineLevel="0" collapsed="false">
      <c r="A1319" s="11"/>
      <c r="B1319" s="6"/>
      <c r="C1319" s="11"/>
      <c r="D1319" s="11"/>
      <c r="E1319" s="8" t="str">
        <f aca="false">IF($A1319="","",IF($B1319&lt;PlanDate,"Late",""))</f>
        <v/>
      </c>
    </row>
    <row r="1320" customFormat="false" ht="15" hidden="false" customHeight="false" outlineLevel="0" collapsed="false">
      <c r="A1320" s="11"/>
      <c r="B1320" s="6"/>
      <c r="C1320" s="11"/>
      <c r="D1320" s="11"/>
      <c r="E1320" s="8" t="str">
        <f aca="false">IF($A1320="","",IF($B1320&lt;PlanDate,"Late",""))</f>
        <v/>
      </c>
    </row>
    <row r="1321" customFormat="false" ht="15" hidden="false" customHeight="false" outlineLevel="0" collapsed="false">
      <c r="A1321" s="11"/>
      <c r="B1321" s="6"/>
      <c r="C1321" s="11"/>
      <c r="D1321" s="11"/>
      <c r="E1321" s="8" t="str">
        <f aca="false">IF($A1321="","",IF($B1321&lt;PlanDate,"Late",""))</f>
        <v/>
      </c>
    </row>
    <row r="1322" customFormat="false" ht="15" hidden="false" customHeight="false" outlineLevel="0" collapsed="false">
      <c r="A1322" s="11"/>
      <c r="B1322" s="6"/>
      <c r="C1322" s="11"/>
      <c r="D1322" s="11"/>
      <c r="E1322" s="8" t="str">
        <f aca="false">IF($A1322="","",IF($B1322&lt;PlanDate,"Late",""))</f>
        <v/>
      </c>
    </row>
    <row r="1323" customFormat="false" ht="15" hidden="false" customHeight="false" outlineLevel="0" collapsed="false">
      <c r="A1323" s="11"/>
      <c r="B1323" s="6"/>
      <c r="C1323" s="11"/>
      <c r="D1323" s="11"/>
      <c r="E1323" s="8" t="str">
        <f aca="false">IF($A1323="","",IF($B1323&lt;PlanDate,"Late",""))</f>
        <v/>
      </c>
    </row>
    <row r="1324" customFormat="false" ht="15" hidden="false" customHeight="false" outlineLevel="0" collapsed="false">
      <c r="A1324" s="11"/>
      <c r="B1324" s="6"/>
      <c r="C1324" s="11"/>
      <c r="D1324" s="11"/>
      <c r="E1324" s="8" t="str">
        <f aca="false">IF($A1324="","",IF($B1324&lt;PlanDate,"Late",""))</f>
        <v/>
      </c>
    </row>
    <row r="1325" customFormat="false" ht="15" hidden="false" customHeight="false" outlineLevel="0" collapsed="false">
      <c r="A1325" s="11"/>
      <c r="B1325" s="6"/>
      <c r="C1325" s="11"/>
      <c r="D1325" s="11"/>
      <c r="E1325" s="8" t="str">
        <f aca="false">IF($A1325="","",IF($B1325&lt;PlanDate,"Late",""))</f>
        <v/>
      </c>
    </row>
    <row r="1326" customFormat="false" ht="15" hidden="false" customHeight="false" outlineLevel="0" collapsed="false">
      <c r="A1326" s="11"/>
      <c r="B1326" s="6"/>
      <c r="C1326" s="11"/>
      <c r="D1326" s="11"/>
      <c r="E1326" s="8" t="str">
        <f aca="false">IF($A1326="","",IF($B1326&lt;PlanDate,"Late",""))</f>
        <v/>
      </c>
    </row>
    <row r="1327" customFormat="false" ht="15" hidden="false" customHeight="false" outlineLevel="0" collapsed="false">
      <c r="A1327" s="11"/>
      <c r="B1327" s="6"/>
      <c r="C1327" s="11"/>
      <c r="D1327" s="11"/>
      <c r="E1327" s="8" t="str">
        <f aca="false">IF($A1327="","",IF($B1327&lt;PlanDate,"Late",""))</f>
        <v/>
      </c>
    </row>
    <row r="1328" customFormat="false" ht="15" hidden="false" customHeight="false" outlineLevel="0" collapsed="false">
      <c r="A1328" s="11"/>
      <c r="B1328" s="6"/>
      <c r="C1328" s="11"/>
      <c r="D1328" s="11"/>
      <c r="E1328" s="8" t="str">
        <f aca="false">IF($A1328="","",IF($B1328&lt;PlanDate,"Late",""))</f>
        <v/>
      </c>
    </row>
    <row r="1329" customFormat="false" ht="15" hidden="false" customHeight="false" outlineLevel="0" collapsed="false">
      <c r="A1329" s="11"/>
      <c r="B1329" s="6"/>
      <c r="C1329" s="11"/>
      <c r="D1329" s="11"/>
      <c r="E1329" s="8" t="str">
        <f aca="false">IF($A1329="","",IF($B1329&lt;PlanDate,"Late",""))</f>
        <v/>
      </c>
    </row>
    <row r="1330" customFormat="false" ht="15" hidden="false" customHeight="false" outlineLevel="0" collapsed="false">
      <c r="A1330" s="11"/>
      <c r="B1330" s="6"/>
      <c r="C1330" s="11"/>
      <c r="D1330" s="11"/>
      <c r="E1330" s="8" t="str">
        <f aca="false">IF($A1330="","",IF($B1330&lt;PlanDate,"Late",""))</f>
        <v/>
      </c>
    </row>
    <row r="1331" customFormat="false" ht="15" hidden="false" customHeight="false" outlineLevel="0" collapsed="false">
      <c r="A1331" s="11"/>
      <c r="B1331" s="6"/>
      <c r="C1331" s="11"/>
      <c r="D1331" s="11"/>
      <c r="E1331" s="8" t="str">
        <f aca="false">IF($A1331="","",IF($B1331&lt;PlanDate,"Late",""))</f>
        <v/>
      </c>
    </row>
    <row r="1332" customFormat="false" ht="15" hidden="false" customHeight="false" outlineLevel="0" collapsed="false">
      <c r="A1332" s="11"/>
      <c r="B1332" s="6"/>
      <c r="C1332" s="11"/>
      <c r="D1332" s="11"/>
      <c r="E1332" s="8" t="str">
        <f aca="false">IF($A1332="","",IF($B1332&lt;PlanDate,"Late",""))</f>
        <v/>
      </c>
    </row>
    <row r="1333" customFormat="false" ht="15" hidden="false" customHeight="false" outlineLevel="0" collapsed="false">
      <c r="A1333" s="11"/>
      <c r="B1333" s="6"/>
      <c r="C1333" s="11"/>
      <c r="D1333" s="11"/>
      <c r="E1333" s="8" t="str">
        <f aca="false">IF($A1333="","",IF($B1333&lt;PlanDate,"Late",""))</f>
        <v/>
      </c>
    </row>
    <row r="1334" customFormat="false" ht="15" hidden="false" customHeight="false" outlineLevel="0" collapsed="false">
      <c r="A1334" s="11"/>
      <c r="B1334" s="6"/>
      <c r="C1334" s="11"/>
      <c r="D1334" s="11"/>
      <c r="E1334" s="8" t="str">
        <f aca="false">IF($A1334="","",IF($B1334&lt;PlanDate,"Late",""))</f>
        <v/>
      </c>
    </row>
    <row r="1335" customFormat="false" ht="15" hidden="false" customHeight="false" outlineLevel="0" collapsed="false">
      <c r="A1335" s="11"/>
      <c r="B1335" s="6"/>
      <c r="C1335" s="11"/>
      <c r="D1335" s="11"/>
      <c r="E1335" s="8" t="str">
        <f aca="false">IF($A1335="","",IF($B1335&lt;PlanDate,"Late",""))</f>
        <v/>
      </c>
    </row>
    <row r="1336" customFormat="false" ht="15" hidden="false" customHeight="false" outlineLevel="0" collapsed="false">
      <c r="A1336" s="11"/>
      <c r="B1336" s="6"/>
      <c r="C1336" s="11"/>
      <c r="D1336" s="11"/>
      <c r="E1336" s="8" t="str">
        <f aca="false">IF($A1336="","",IF($B1336&lt;PlanDate,"Late",""))</f>
        <v/>
      </c>
    </row>
    <row r="1337" customFormat="false" ht="15" hidden="false" customHeight="false" outlineLevel="0" collapsed="false">
      <c r="A1337" s="11"/>
      <c r="B1337" s="6"/>
      <c r="C1337" s="11"/>
      <c r="D1337" s="11"/>
      <c r="E1337" s="8" t="str">
        <f aca="false">IF($A1337="","",IF($B1337&lt;PlanDate,"Late",""))</f>
        <v/>
      </c>
    </row>
    <row r="1338" customFormat="false" ht="15" hidden="false" customHeight="false" outlineLevel="0" collapsed="false">
      <c r="A1338" s="11"/>
      <c r="B1338" s="6"/>
      <c r="C1338" s="11"/>
      <c r="D1338" s="11"/>
      <c r="E1338" s="8" t="str">
        <f aca="false">IF($A1338="","",IF($B1338&lt;PlanDate,"Late",""))</f>
        <v/>
      </c>
    </row>
    <row r="1339" customFormat="false" ht="15" hidden="false" customHeight="false" outlineLevel="0" collapsed="false">
      <c r="A1339" s="11"/>
      <c r="B1339" s="6"/>
      <c r="C1339" s="11"/>
      <c r="D1339" s="11"/>
      <c r="E1339" s="8" t="str">
        <f aca="false">IF($A1339="","",IF($B1339&lt;PlanDate,"Late",""))</f>
        <v/>
      </c>
    </row>
    <row r="1340" customFormat="false" ht="15" hidden="false" customHeight="false" outlineLevel="0" collapsed="false">
      <c r="A1340" s="11"/>
      <c r="B1340" s="6"/>
      <c r="C1340" s="11"/>
      <c r="D1340" s="11"/>
      <c r="E1340" s="8" t="str">
        <f aca="false">IF($A1340="","",IF($B1340&lt;PlanDate,"Late",""))</f>
        <v/>
      </c>
    </row>
    <row r="1341" customFormat="false" ht="15" hidden="false" customHeight="false" outlineLevel="0" collapsed="false">
      <c r="A1341" s="11"/>
      <c r="B1341" s="6"/>
      <c r="C1341" s="11"/>
      <c r="D1341" s="11"/>
      <c r="E1341" s="8" t="str">
        <f aca="false">IF($A1341="","",IF($B1341&lt;PlanDate,"Late",""))</f>
        <v/>
      </c>
    </row>
    <row r="1342" customFormat="false" ht="15" hidden="false" customHeight="false" outlineLevel="0" collapsed="false">
      <c r="A1342" s="11"/>
      <c r="B1342" s="6"/>
      <c r="C1342" s="11"/>
      <c r="D1342" s="11"/>
      <c r="E1342" s="8" t="str">
        <f aca="false">IF($A1342="","",IF($B1342&lt;PlanDate,"Late",""))</f>
        <v/>
      </c>
    </row>
    <row r="1343" customFormat="false" ht="15" hidden="false" customHeight="false" outlineLevel="0" collapsed="false">
      <c r="A1343" s="11"/>
      <c r="B1343" s="6"/>
      <c r="C1343" s="11"/>
      <c r="D1343" s="11"/>
      <c r="E1343" s="8" t="str">
        <f aca="false">IF($A1343="","",IF($B1343&lt;PlanDate,"Late",""))</f>
        <v/>
      </c>
    </row>
    <row r="1344" customFormat="false" ht="15" hidden="false" customHeight="false" outlineLevel="0" collapsed="false">
      <c r="A1344" s="11"/>
      <c r="B1344" s="6"/>
      <c r="C1344" s="11"/>
      <c r="D1344" s="11"/>
      <c r="E1344" s="8" t="str">
        <f aca="false">IF($A1344="","",IF($B1344&lt;PlanDate,"Late",""))</f>
        <v/>
      </c>
    </row>
    <row r="1345" customFormat="false" ht="15" hidden="false" customHeight="false" outlineLevel="0" collapsed="false">
      <c r="A1345" s="11"/>
      <c r="B1345" s="6"/>
      <c r="C1345" s="11"/>
      <c r="D1345" s="11"/>
      <c r="E1345" s="8" t="str">
        <f aca="false">IF($A1345="","",IF($B1345&lt;PlanDate,"Late",""))</f>
        <v/>
      </c>
    </row>
    <row r="1346" customFormat="false" ht="15" hidden="false" customHeight="false" outlineLevel="0" collapsed="false">
      <c r="A1346" s="11"/>
      <c r="B1346" s="6"/>
      <c r="C1346" s="11"/>
      <c r="D1346" s="11"/>
      <c r="E1346" s="8" t="str">
        <f aca="false">IF($A1346="","",IF($B1346&lt;PlanDate,"Late",""))</f>
        <v/>
      </c>
    </row>
    <row r="1347" customFormat="false" ht="15" hidden="false" customHeight="false" outlineLevel="0" collapsed="false">
      <c r="A1347" s="11"/>
      <c r="B1347" s="6"/>
      <c r="C1347" s="11"/>
      <c r="D1347" s="11"/>
      <c r="E1347" s="8" t="str">
        <f aca="false">IF($A1347="","",IF($B1347&lt;PlanDate,"Late",""))</f>
        <v/>
      </c>
    </row>
    <row r="1348" customFormat="false" ht="15" hidden="false" customHeight="false" outlineLevel="0" collapsed="false">
      <c r="A1348" s="11"/>
      <c r="B1348" s="6"/>
      <c r="C1348" s="11"/>
      <c r="D1348" s="11"/>
      <c r="E1348" s="8" t="str">
        <f aca="false">IF($A1348="","",IF($B1348&lt;PlanDate,"Late",""))</f>
        <v/>
      </c>
    </row>
    <row r="1349" customFormat="false" ht="15" hidden="false" customHeight="false" outlineLevel="0" collapsed="false">
      <c r="A1349" s="11"/>
      <c r="B1349" s="6"/>
      <c r="C1349" s="11"/>
      <c r="D1349" s="11"/>
      <c r="E1349" s="8" t="str">
        <f aca="false">IF($A1349="","",IF($B1349&lt;PlanDate,"Late",""))</f>
        <v/>
      </c>
    </row>
    <row r="1350" customFormat="false" ht="15" hidden="false" customHeight="false" outlineLevel="0" collapsed="false">
      <c r="A1350" s="11"/>
      <c r="B1350" s="6"/>
      <c r="C1350" s="11"/>
      <c r="D1350" s="11"/>
      <c r="E1350" s="8" t="str">
        <f aca="false">IF($A1350="","",IF($B1350&lt;PlanDate,"Late",""))</f>
        <v/>
      </c>
    </row>
    <row r="1351" customFormat="false" ht="15" hidden="false" customHeight="false" outlineLevel="0" collapsed="false">
      <c r="A1351" s="11"/>
      <c r="B1351" s="6"/>
      <c r="C1351" s="11"/>
      <c r="D1351" s="11"/>
      <c r="E1351" s="8" t="str">
        <f aca="false">IF($A1351="","",IF($B1351&lt;PlanDate,"Late",""))</f>
        <v/>
      </c>
    </row>
    <row r="1352" customFormat="false" ht="15" hidden="false" customHeight="false" outlineLevel="0" collapsed="false">
      <c r="A1352" s="11"/>
      <c r="B1352" s="6"/>
      <c r="C1352" s="11"/>
      <c r="D1352" s="11"/>
      <c r="E1352" s="8" t="str">
        <f aca="false">IF($A1352="","",IF($B1352&lt;PlanDate,"Late",""))</f>
        <v/>
      </c>
    </row>
    <row r="1353" customFormat="false" ht="15" hidden="false" customHeight="false" outlineLevel="0" collapsed="false">
      <c r="A1353" s="11"/>
      <c r="B1353" s="6"/>
      <c r="C1353" s="11"/>
      <c r="D1353" s="11"/>
      <c r="E1353" s="8" t="str">
        <f aca="false">IF($A1353="","",IF($B1353&lt;PlanDate,"Late",""))</f>
        <v/>
      </c>
    </row>
    <row r="1354" customFormat="false" ht="15" hidden="false" customHeight="false" outlineLevel="0" collapsed="false">
      <c r="A1354" s="11"/>
      <c r="B1354" s="6"/>
      <c r="C1354" s="11"/>
      <c r="D1354" s="11"/>
      <c r="E1354" s="8" t="str">
        <f aca="false">IF($A1354="","",IF($B1354&lt;PlanDate,"Late",""))</f>
        <v/>
      </c>
    </row>
    <row r="1355" customFormat="false" ht="15" hidden="false" customHeight="false" outlineLevel="0" collapsed="false">
      <c r="A1355" s="11"/>
      <c r="B1355" s="6"/>
      <c r="C1355" s="11"/>
      <c r="D1355" s="11"/>
      <c r="E1355" s="8" t="str">
        <f aca="false">IF($A1355="","",IF($B1355&lt;PlanDate,"Late",""))</f>
        <v/>
      </c>
    </row>
    <row r="1356" customFormat="false" ht="15" hidden="false" customHeight="false" outlineLevel="0" collapsed="false">
      <c r="A1356" s="11"/>
      <c r="B1356" s="6"/>
      <c r="C1356" s="11"/>
      <c r="D1356" s="11"/>
      <c r="E1356" s="8" t="str">
        <f aca="false">IF($A1356="","",IF($B1356&lt;PlanDate,"Late",""))</f>
        <v/>
      </c>
    </row>
    <row r="1357" customFormat="false" ht="15" hidden="false" customHeight="false" outlineLevel="0" collapsed="false">
      <c r="A1357" s="11"/>
      <c r="B1357" s="6"/>
      <c r="C1357" s="11"/>
      <c r="D1357" s="11"/>
      <c r="E1357" s="8" t="str">
        <f aca="false">IF($A1357="","",IF($B1357&lt;PlanDate,"Late",""))</f>
        <v/>
      </c>
    </row>
    <row r="1358" customFormat="false" ht="15" hidden="false" customHeight="false" outlineLevel="0" collapsed="false">
      <c r="A1358" s="11"/>
      <c r="B1358" s="6"/>
      <c r="C1358" s="11"/>
      <c r="D1358" s="11"/>
      <c r="E1358" s="8" t="str">
        <f aca="false">IF($A1358="","",IF($B1358&lt;PlanDate,"Late",""))</f>
        <v/>
      </c>
    </row>
    <row r="1359" customFormat="false" ht="15" hidden="false" customHeight="false" outlineLevel="0" collapsed="false">
      <c r="A1359" s="11"/>
      <c r="B1359" s="6"/>
      <c r="C1359" s="11"/>
      <c r="D1359" s="11"/>
      <c r="E1359" s="8" t="str">
        <f aca="false">IF($A1359="","",IF($B1359&lt;PlanDate,"Late",""))</f>
        <v/>
      </c>
    </row>
    <row r="1360" customFormat="false" ht="15" hidden="false" customHeight="false" outlineLevel="0" collapsed="false">
      <c r="A1360" s="11"/>
      <c r="B1360" s="6"/>
      <c r="C1360" s="11"/>
      <c r="D1360" s="11"/>
      <c r="E1360" s="8" t="str">
        <f aca="false">IF($A1360="","",IF($B1360&lt;PlanDate,"Late",""))</f>
        <v/>
      </c>
    </row>
    <row r="1361" customFormat="false" ht="15" hidden="false" customHeight="false" outlineLevel="0" collapsed="false">
      <c r="A1361" s="11"/>
      <c r="B1361" s="6"/>
      <c r="C1361" s="11"/>
      <c r="D1361" s="11"/>
      <c r="E1361" s="8" t="str">
        <f aca="false">IF($A1361="","",IF($B1361&lt;PlanDate,"Late",""))</f>
        <v/>
      </c>
    </row>
    <row r="1362" customFormat="false" ht="15" hidden="false" customHeight="false" outlineLevel="0" collapsed="false">
      <c r="A1362" s="11"/>
      <c r="B1362" s="6"/>
      <c r="C1362" s="11"/>
      <c r="D1362" s="11"/>
      <c r="E1362" s="8" t="str">
        <f aca="false">IF($A1362="","",IF($B1362&lt;PlanDate,"Late",""))</f>
        <v/>
      </c>
    </row>
    <row r="1363" customFormat="false" ht="15" hidden="false" customHeight="false" outlineLevel="0" collapsed="false">
      <c r="A1363" s="11"/>
      <c r="B1363" s="6"/>
      <c r="C1363" s="11"/>
      <c r="D1363" s="11"/>
      <c r="E1363" s="8" t="str">
        <f aca="false">IF($A1363="","",IF($B1363&lt;PlanDate,"Late",""))</f>
        <v/>
      </c>
    </row>
    <row r="1364" customFormat="false" ht="15" hidden="false" customHeight="false" outlineLevel="0" collapsed="false">
      <c r="A1364" s="11"/>
      <c r="B1364" s="6"/>
      <c r="C1364" s="11"/>
      <c r="D1364" s="11"/>
      <c r="E1364" s="8" t="str">
        <f aca="false">IF($A1364="","",IF($B1364&lt;PlanDate,"Late",""))</f>
        <v/>
      </c>
    </row>
    <row r="1365" customFormat="false" ht="15" hidden="false" customHeight="false" outlineLevel="0" collapsed="false">
      <c r="A1365" s="11"/>
      <c r="B1365" s="6"/>
      <c r="C1365" s="11"/>
      <c r="D1365" s="11"/>
      <c r="E1365" s="8" t="str">
        <f aca="false">IF($A1365="","",IF($B1365&lt;PlanDate,"Late",""))</f>
        <v/>
      </c>
    </row>
    <row r="1366" customFormat="false" ht="15" hidden="false" customHeight="false" outlineLevel="0" collapsed="false">
      <c r="A1366" s="11"/>
      <c r="B1366" s="6"/>
      <c r="C1366" s="11"/>
      <c r="D1366" s="11"/>
      <c r="E1366" s="8" t="str">
        <f aca="false">IF($A1366="","",IF($B1366&lt;PlanDate,"Late",""))</f>
        <v/>
      </c>
    </row>
    <row r="1367" customFormat="false" ht="15" hidden="false" customHeight="false" outlineLevel="0" collapsed="false">
      <c r="A1367" s="11"/>
      <c r="B1367" s="6"/>
      <c r="C1367" s="11"/>
      <c r="D1367" s="11"/>
      <c r="E1367" s="8" t="str">
        <f aca="false">IF($A1367="","",IF($B1367&lt;PlanDate,"Late",""))</f>
        <v/>
      </c>
    </row>
    <row r="1368" customFormat="false" ht="15" hidden="false" customHeight="false" outlineLevel="0" collapsed="false">
      <c r="A1368" s="11"/>
      <c r="B1368" s="6"/>
      <c r="C1368" s="11"/>
      <c r="D1368" s="11"/>
      <c r="E1368" s="8" t="str">
        <f aca="false">IF($A1368="","",IF($B1368&lt;PlanDate,"Late",""))</f>
        <v/>
      </c>
    </row>
    <row r="1369" customFormat="false" ht="15" hidden="false" customHeight="false" outlineLevel="0" collapsed="false">
      <c r="A1369" s="11"/>
      <c r="B1369" s="6"/>
      <c r="C1369" s="11"/>
      <c r="D1369" s="11"/>
      <c r="E1369" s="8" t="str">
        <f aca="false">IF($A1369="","",IF($B1369&lt;PlanDate,"Late",""))</f>
        <v/>
      </c>
    </row>
    <row r="1370" customFormat="false" ht="15" hidden="false" customHeight="false" outlineLevel="0" collapsed="false">
      <c r="A1370" s="11"/>
      <c r="B1370" s="6"/>
      <c r="C1370" s="11"/>
      <c r="D1370" s="11"/>
      <c r="E1370" s="8" t="str">
        <f aca="false">IF($A1370="","",IF($B1370&lt;PlanDate,"Late",""))</f>
        <v/>
      </c>
    </row>
    <row r="1371" customFormat="false" ht="15" hidden="false" customHeight="false" outlineLevel="0" collapsed="false">
      <c r="A1371" s="11"/>
      <c r="B1371" s="6"/>
      <c r="C1371" s="11"/>
      <c r="D1371" s="11"/>
      <c r="E1371" s="8" t="str">
        <f aca="false">IF($A1371="","",IF($B1371&lt;PlanDate,"Late",""))</f>
        <v/>
      </c>
    </row>
    <row r="1372" customFormat="false" ht="15" hidden="false" customHeight="false" outlineLevel="0" collapsed="false">
      <c r="A1372" s="11"/>
      <c r="B1372" s="6"/>
      <c r="C1372" s="11"/>
      <c r="D1372" s="11"/>
      <c r="E1372" s="8" t="str">
        <f aca="false">IF($A1372="","",IF($B1372&lt;PlanDate,"Late",""))</f>
        <v/>
      </c>
    </row>
    <row r="1373" customFormat="false" ht="15" hidden="false" customHeight="false" outlineLevel="0" collapsed="false">
      <c r="A1373" s="11"/>
      <c r="B1373" s="6"/>
      <c r="C1373" s="11"/>
      <c r="D1373" s="11"/>
      <c r="E1373" s="8" t="str">
        <f aca="false">IF($A1373="","",IF($B1373&lt;PlanDate,"Late",""))</f>
        <v/>
      </c>
    </row>
    <row r="1374" customFormat="false" ht="15" hidden="false" customHeight="false" outlineLevel="0" collapsed="false">
      <c r="A1374" s="11"/>
      <c r="B1374" s="6"/>
      <c r="C1374" s="11"/>
      <c r="D1374" s="11"/>
      <c r="E1374" s="8" t="str">
        <f aca="false">IF($A1374="","",IF($B1374&lt;PlanDate,"Late",""))</f>
        <v/>
      </c>
    </row>
    <row r="1375" customFormat="false" ht="15" hidden="false" customHeight="false" outlineLevel="0" collapsed="false">
      <c r="A1375" s="11"/>
      <c r="B1375" s="6"/>
      <c r="C1375" s="11"/>
      <c r="D1375" s="11"/>
      <c r="E1375" s="8" t="str">
        <f aca="false">IF($A1375="","",IF($B1375&lt;PlanDate,"Late",""))</f>
        <v/>
      </c>
    </row>
    <row r="1376" customFormat="false" ht="15" hidden="false" customHeight="false" outlineLevel="0" collapsed="false">
      <c r="A1376" s="11"/>
      <c r="B1376" s="6"/>
      <c r="C1376" s="11"/>
      <c r="D1376" s="11"/>
      <c r="E1376" s="8" t="str">
        <f aca="false">IF($A1376="","",IF($B1376&lt;PlanDate,"Late",""))</f>
        <v/>
      </c>
    </row>
    <row r="1377" customFormat="false" ht="15" hidden="false" customHeight="false" outlineLevel="0" collapsed="false">
      <c r="A1377" s="11"/>
      <c r="B1377" s="6"/>
      <c r="C1377" s="11"/>
      <c r="D1377" s="11"/>
      <c r="E1377" s="8" t="str">
        <f aca="false">IF($A1377="","",IF($B1377&lt;PlanDate,"Late",""))</f>
        <v/>
      </c>
    </row>
    <row r="1378" customFormat="false" ht="15" hidden="false" customHeight="false" outlineLevel="0" collapsed="false">
      <c r="A1378" s="11"/>
      <c r="B1378" s="6"/>
      <c r="C1378" s="11"/>
      <c r="D1378" s="11"/>
      <c r="E1378" s="8" t="str">
        <f aca="false">IF($A1378="","",IF($B1378&lt;PlanDate,"Late",""))</f>
        <v/>
      </c>
    </row>
    <row r="1379" customFormat="false" ht="15" hidden="false" customHeight="false" outlineLevel="0" collapsed="false">
      <c r="A1379" s="11"/>
      <c r="B1379" s="6"/>
      <c r="C1379" s="11"/>
      <c r="D1379" s="11"/>
      <c r="E1379" s="8" t="str">
        <f aca="false">IF($A1379="","",IF($B1379&lt;PlanDate,"Late",""))</f>
        <v/>
      </c>
    </row>
    <row r="1380" customFormat="false" ht="15" hidden="false" customHeight="false" outlineLevel="0" collapsed="false">
      <c r="A1380" s="11"/>
      <c r="B1380" s="6"/>
      <c r="C1380" s="11"/>
      <c r="D1380" s="11"/>
      <c r="E1380" s="8" t="str">
        <f aca="false">IF($A1380="","",IF($B1380&lt;PlanDate,"Late",""))</f>
        <v/>
      </c>
    </row>
    <row r="1381" customFormat="false" ht="15" hidden="false" customHeight="false" outlineLevel="0" collapsed="false">
      <c r="A1381" s="11"/>
      <c r="B1381" s="6"/>
      <c r="C1381" s="11"/>
      <c r="D1381" s="11"/>
      <c r="E1381" s="8" t="str">
        <f aca="false">IF($A1381="","",IF($B1381&lt;PlanDate,"Late",""))</f>
        <v/>
      </c>
    </row>
    <row r="1382" customFormat="false" ht="15" hidden="false" customHeight="false" outlineLevel="0" collapsed="false">
      <c r="A1382" s="11"/>
      <c r="B1382" s="6"/>
      <c r="C1382" s="11"/>
      <c r="D1382" s="11"/>
      <c r="E1382" s="8" t="str">
        <f aca="false">IF($A1382="","",IF($B1382&lt;PlanDate,"Late",""))</f>
        <v/>
      </c>
    </row>
    <row r="1383" customFormat="false" ht="15" hidden="false" customHeight="false" outlineLevel="0" collapsed="false">
      <c r="A1383" s="11"/>
      <c r="B1383" s="6"/>
      <c r="C1383" s="11"/>
      <c r="D1383" s="11"/>
      <c r="E1383" s="8" t="str">
        <f aca="false">IF($A1383="","",IF($B1383&lt;PlanDate,"Late",""))</f>
        <v/>
      </c>
    </row>
    <row r="1384" customFormat="false" ht="15" hidden="false" customHeight="false" outlineLevel="0" collapsed="false">
      <c r="A1384" s="11"/>
      <c r="B1384" s="6"/>
      <c r="C1384" s="11"/>
      <c r="D1384" s="11"/>
      <c r="E1384" s="8" t="str">
        <f aca="false">IF($A1384="","",IF($B1384&lt;PlanDate,"Late",""))</f>
        <v/>
      </c>
    </row>
    <row r="1385" customFormat="false" ht="15" hidden="false" customHeight="false" outlineLevel="0" collapsed="false">
      <c r="A1385" s="11"/>
      <c r="B1385" s="6"/>
      <c r="C1385" s="11"/>
      <c r="D1385" s="11"/>
      <c r="E1385" s="8" t="str">
        <f aca="false">IF($A1385="","",IF($B1385&lt;PlanDate,"Late",""))</f>
        <v/>
      </c>
    </row>
    <row r="1386" customFormat="false" ht="15" hidden="false" customHeight="false" outlineLevel="0" collapsed="false">
      <c r="A1386" s="11"/>
      <c r="B1386" s="6"/>
      <c r="C1386" s="11"/>
      <c r="D1386" s="11"/>
      <c r="E1386" s="8" t="str">
        <f aca="false">IF($A1386="","",IF($B1386&lt;PlanDate,"Late",""))</f>
        <v/>
      </c>
    </row>
    <row r="1387" customFormat="false" ht="15" hidden="false" customHeight="false" outlineLevel="0" collapsed="false">
      <c r="A1387" s="11"/>
      <c r="B1387" s="6"/>
      <c r="C1387" s="11"/>
      <c r="D1387" s="11"/>
      <c r="E1387" s="8" t="str">
        <f aca="false">IF($A1387="","",IF($B1387&lt;PlanDate,"Late",""))</f>
        <v/>
      </c>
    </row>
    <row r="1388" customFormat="false" ht="15" hidden="false" customHeight="false" outlineLevel="0" collapsed="false">
      <c r="A1388" s="11"/>
      <c r="B1388" s="6"/>
      <c r="C1388" s="11"/>
      <c r="D1388" s="11"/>
      <c r="E1388" s="8" t="str">
        <f aca="false">IF($A1388="","",IF($B1388&lt;PlanDate,"Late",""))</f>
        <v/>
      </c>
    </row>
    <row r="1389" customFormat="false" ht="15" hidden="false" customHeight="false" outlineLevel="0" collapsed="false">
      <c r="A1389" s="11"/>
      <c r="B1389" s="6"/>
      <c r="C1389" s="11"/>
      <c r="D1389" s="11"/>
      <c r="E1389" s="8" t="str">
        <f aca="false">IF($A1389="","",IF($B1389&lt;PlanDate,"Late",""))</f>
        <v/>
      </c>
    </row>
    <row r="1390" customFormat="false" ht="15" hidden="false" customHeight="false" outlineLevel="0" collapsed="false">
      <c r="A1390" s="11"/>
      <c r="B1390" s="6"/>
      <c r="C1390" s="11"/>
      <c r="D1390" s="11"/>
      <c r="E1390" s="8" t="str">
        <f aca="false">IF($A1390="","",IF($B1390&lt;PlanDate,"Late",""))</f>
        <v/>
      </c>
    </row>
    <row r="1391" customFormat="false" ht="15" hidden="false" customHeight="false" outlineLevel="0" collapsed="false">
      <c r="A1391" s="11"/>
      <c r="B1391" s="6"/>
      <c r="C1391" s="11"/>
      <c r="D1391" s="11"/>
      <c r="E1391" s="8" t="str">
        <f aca="false">IF($A1391="","",IF($B1391&lt;PlanDate,"Late",""))</f>
        <v/>
      </c>
    </row>
    <row r="1392" customFormat="false" ht="15" hidden="false" customHeight="false" outlineLevel="0" collapsed="false">
      <c r="A1392" s="11"/>
      <c r="B1392" s="6"/>
      <c r="C1392" s="11"/>
      <c r="D1392" s="11"/>
      <c r="E1392" s="8" t="str">
        <f aca="false">IF($A1392="","",IF($B1392&lt;PlanDate,"Late",""))</f>
        <v/>
      </c>
    </row>
    <row r="1393" customFormat="false" ht="15" hidden="false" customHeight="false" outlineLevel="0" collapsed="false">
      <c r="A1393" s="11"/>
      <c r="B1393" s="6"/>
      <c r="C1393" s="11"/>
      <c r="D1393" s="11"/>
      <c r="E1393" s="8" t="str">
        <f aca="false">IF($A1393="","",IF($B1393&lt;PlanDate,"Late",""))</f>
        <v/>
      </c>
    </row>
    <row r="1394" customFormat="false" ht="15" hidden="false" customHeight="false" outlineLevel="0" collapsed="false">
      <c r="A1394" s="11"/>
      <c r="B1394" s="6"/>
      <c r="C1394" s="11"/>
      <c r="D1394" s="11"/>
      <c r="E1394" s="8" t="str">
        <f aca="false">IF($A1394="","",IF($B1394&lt;PlanDate,"Late",""))</f>
        <v/>
      </c>
    </row>
    <row r="1395" customFormat="false" ht="15" hidden="false" customHeight="false" outlineLevel="0" collapsed="false">
      <c r="A1395" s="11"/>
      <c r="B1395" s="6"/>
      <c r="C1395" s="11"/>
      <c r="D1395" s="11"/>
      <c r="E1395" s="8" t="str">
        <f aca="false">IF($A1395="","",IF($B1395&lt;PlanDate,"Late",""))</f>
        <v/>
      </c>
    </row>
    <row r="1396" customFormat="false" ht="15" hidden="false" customHeight="false" outlineLevel="0" collapsed="false">
      <c r="A1396" s="11"/>
      <c r="B1396" s="6"/>
      <c r="C1396" s="11"/>
      <c r="D1396" s="11"/>
      <c r="E1396" s="8" t="str">
        <f aca="false">IF($A1396="","",IF($B1396&lt;PlanDate,"Late",""))</f>
        <v/>
      </c>
    </row>
    <row r="1397" customFormat="false" ht="15" hidden="false" customHeight="false" outlineLevel="0" collapsed="false">
      <c r="A1397" s="11"/>
      <c r="B1397" s="6"/>
      <c r="C1397" s="11"/>
      <c r="D1397" s="11"/>
      <c r="E1397" s="8" t="str">
        <f aca="false">IF($A1397="","",IF($B1397&lt;PlanDate,"Late",""))</f>
        <v/>
      </c>
    </row>
    <row r="1398" customFormat="false" ht="15" hidden="false" customHeight="false" outlineLevel="0" collapsed="false">
      <c r="A1398" s="11"/>
      <c r="B1398" s="6"/>
      <c r="C1398" s="11"/>
      <c r="D1398" s="11"/>
      <c r="E1398" s="8" t="str">
        <f aca="false">IF($A1398="","",IF($B1398&lt;PlanDate,"Late",""))</f>
        <v/>
      </c>
    </row>
    <row r="1399" customFormat="false" ht="15" hidden="false" customHeight="false" outlineLevel="0" collapsed="false">
      <c r="A1399" s="11"/>
      <c r="B1399" s="6"/>
      <c r="C1399" s="11"/>
      <c r="D1399" s="11"/>
      <c r="E1399" s="8" t="str">
        <f aca="false">IF($A1399="","",IF($B1399&lt;PlanDate,"Late",""))</f>
        <v/>
      </c>
    </row>
    <row r="1400" customFormat="false" ht="15" hidden="false" customHeight="false" outlineLevel="0" collapsed="false">
      <c r="A1400" s="11"/>
      <c r="B1400" s="6"/>
      <c r="C1400" s="11"/>
      <c r="D1400" s="11"/>
      <c r="E1400" s="8" t="str">
        <f aca="false">IF($A1400="","",IF($B1400&lt;PlanDate,"Late",""))</f>
        <v/>
      </c>
    </row>
    <row r="1401" customFormat="false" ht="15" hidden="false" customHeight="false" outlineLevel="0" collapsed="false">
      <c r="A1401" s="11"/>
      <c r="B1401" s="6"/>
      <c r="C1401" s="11"/>
      <c r="D1401" s="11"/>
      <c r="E1401" s="8" t="str">
        <f aca="false">IF($A1401="","",IF($B1401&lt;PlanDate,"Late",""))</f>
        <v/>
      </c>
    </row>
    <row r="1402" customFormat="false" ht="15" hidden="false" customHeight="false" outlineLevel="0" collapsed="false">
      <c r="A1402" s="11"/>
      <c r="B1402" s="6"/>
      <c r="C1402" s="11"/>
      <c r="D1402" s="11"/>
      <c r="E1402" s="8" t="str">
        <f aca="false">IF($A1402="","",IF($B1402&lt;PlanDate,"Late",""))</f>
        <v/>
      </c>
    </row>
    <row r="1403" customFormat="false" ht="15" hidden="false" customHeight="false" outlineLevel="0" collapsed="false">
      <c r="A1403" s="11"/>
      <c r="B1403" s="6"/>
      <c r="C1403" s="11"/>
      <c r="D1403" s="11"/>
      <c r="E1403" s="8" t="str">
        <f aca="false">IF($A1403="","",IF($B1403&lt;PlanDate,"Late",""))</f>
        <v/>
      </c>
    </row>
    <row r="1404" customFormat="false" ht="15" hidden="false" customHeight="false" outlineLevel="0" collapsed="false">
      <c r="A1404" s="11"/>
      <c r="B1404" s="6"/>
      <c r="C1404" s="11"/>
      <c r="D1404" s="11"/>
      <c r="E1404" s="8" t="str">
        <f aca="false">IF($A1404="","",IF($B1404&lt;PlanDate,"Late",""))</f>
        <v/>
      </c>
    </row>
    <row r="1405" customFormat="false" ht="15" hidden="false" customHeight="false" outlineLevel="0" collapsed="false">
      <c r="A1405" s="11"/>
      <c r="B1405" s="6"/>
      <c r="C1405" s="11"/>
      <c r="D1405" s="11"/>
      <c r="E1405" s="8" t="str">
        <f aca="false">IF($A1405="","",IF($B1405&lt;PlanDate,"Late",""))</f>
        <v/>
      </c>
    </row>
    <row r="1406" customFormat="false" ht="15" hidden="false" customHeight="false" outlineLevel="0" collapsed="false">
      <c r="A1406" s="11"/>
      <c r="B1406" s="6"/>
      <c r="C1406" s="11"/>
      <c r="D1406" s="11"/>
      <c r="E1406" s="8" t="str">
        <f aca="false">IF($A1406="","",IF($B1406&lt;PlanDate,"Late",""))</f>
        <v/>
      </c>
    </row>
    <row r="1407" customFormat="false" ht="15" hidden="false" customHeight="false" outlineLevel="0" collapsed="false">
      <c r="A1407" s="11"/>
      <c r="B1407" s="6"/>
      <c r="C1407" s="11"/>
      <c r="D1407" s="11"/>
      <c r="E1407" s="8" t="str">
        <f aca="false">IF($A1407="","",IF($B1407&lt;PlanDate,"Late",""))</f>
        <v/>
      </c>
    </row>
    <row r="1408" customFormat="false" ht="15" hidden="false" customHeight="false" outlineLevel="0" collapsed="false">
      <c r="A1408" s="11"/>
      <c r="B1408" s="6"/>
      <c r="C1408" s="11"/>
      <c r="D1408" s="11"/>
      <c r="E1408" s="8" t="str">
        <f aca="false">IF($A1408="","",IF($B1408&lt;PlanDate,"Late",""))</f>
        <v/>
      </c>
    </row>
    <row r="1409" customFormat="false" ht="15" hidden="false" customHeight="false" outlineLevel="0" collapsed="false">
      <c r="A1409" s="11"/>
      <c r="B1409" s="6"/>
      <c r="C1409" s="11"/>
      <c r="D1409" s="11"/>
      <c r="E1409" s="8" t="str">
        <f aca="false">IF($A1409="","",IF($B1409&lt;PlanDate,"Late",""))</f>
        <v/>
      </c>
    </row>
    <row r="1410" customFormat="false" ht="15" hidden="false" customHeight="false" outlineLevel="0" collapsed="false">
      <c r="A1410" s="11"/>
      <c r="B1410" s="6"/>
      <c r="C1410" s="11"/>
      <c r="D1410" s="11"/>
      <c r="E1410" s="8" t="str">
        <f aca="false">IF($A1410="","",IF($B1410&lt;PlanDate,"Late",""))</f>
        <v/>
      </c>
    </row>
    <row r="1411" customFormat="false" ht="15" hidden="false" customHeight="false" outlineLevel="0" collapsed="false">
      <c r="A1411" s="11"/>
      <c r="B1411" s="6"/>
      <c r="C1411" s="11"/>
      <c r="D1411" s="11"/>
      <c r="E1411" s="8" t="str">
        <f aca="false">IF($A1411="","",IF($B1411&lt;PlanDate,"Late",""))</f>
        <v/>
      </c>
    </row>
    <row r="1412" customFormat="false" ht="15" hidden="false" customHeight="false" outlineLevel="0" collapsed="false">
      <c r="A1412" s="11"/>
      <c r="B1412" s="6"/>
      <c r="C1412" s="11"/>
      <c r="D1412" s="11"/>
      <c r="E1412" s="8" t="str">
        <f aca="false">IF($A1412="","",IF($B1412&lt;PlanDate,"Late",""))</f>
        <v/>
      </c>
    </row>
    <row r="1413" customFormat="false" ht="15" hidden="false" customHeight="false" outlineLevel="0" collapsed="false">
      <c r="A1413" s="11"/>
      <c r="B1413" s="6"/>
      <c r="C1413" s="11"/>
      <c r="D1413" s="11"/>
      <c r="E1413" s="8" t="str">
        <f aca="false">IF($A1413="","",IF($B1413&lt;PlanDate,"Late",""))</f>
        <v/>
      </c>
    </row>
    <row r="1414" customFormat="false" ht="15" hidden="false" customHeight="false" outlineLevel="0" collapsed="false">
      <c r="A1414" s="11"/>
      <c r="B1414" s="6"/>
      <c r="C1414" s="11"/>
      <c r="D1414" s="11"/>
      <c r="E1414" s="8" t="str">
        <f aca="false">IF($A1414="","",IF($B1414&lt;PlanDate,"Late",""))</f>
        <v/>
      </c>
    </row>
    <row r="1415" customFormat="false" ht="15" hidden="false" customHeight="false" outlineLevel="0" collapsed="false">
      <c r="A1415" s="11"/>
      <c r="B1415" s="6"/>
      <c r="C1415" s="11"/>
      <c r="D1415" s="11"/>
      <c r="E1415" s="8" t="str">
        <f aca="false">IF($A1415="","",IF($B1415&lt;PlanDate,"Late",""))</f>
        <v/>
      </c>
    </row>
    <row r="1416" customFormat="false" ht="15" hidden="false" customHeight="false" outlineLevel="0" collapsed="false">
      <c r="A1416" s="11"/>
      <c r="B1416" s="6"/>
      <c r="C1416" s="11"/>
      <c r="D1416" s="11"/>
      <c r="E1416" s="8" t="str">
        <f aca="false">IF($A1416="","",IF($B1416&lt;PlanDate,"Late",""))</f>
        <v/>
      </c>
    </row>
    <row r="1417" customFormat="false" ht="15" hidden="false" customHeight="false" outlineLevel="0" collapsed="false">
      <c r="A1417" s="11"/>
      <c r="B1417" s="6"/>
      <c r="C1417" s="11"/>
      <c r="D1417" s="11"/>
      <c r="E1417" s="8" t="str">
        <f aca="false">IF($A1417="","",IF($B1417&lt;PlanDate,"Late",""))</f>
        <v/>
      </c>
    </row>
    <row r="1418" customFormat="false" ht="15" hidden="false" customHeight="false" outlineLevel="0" collapsed="false">
      <c r="A1418" s="11"/>
      <c r="B1418" s="6"/>
      <c r="C1418" s="11"/>
      <c r="D1418" s="11"/>
      <c r="E1418" s="8" t="str">
        <f aca="false">IF($A1418="","",IF($B1418&lt;PlanDate,"Late",""))</f>
        <v/>
      </c>
    </row>
    <row r="1419" customFormat="false" ht="15" hidden="false" customHeight="false" outlineLevel="0" collapsed="false">
      <c r="A1419" s="11"/>
      <c r="B1419" s="6"/>
      <c r="C1419" s="11"/>
      <c r="D1419" s="11"/>
      <c r="E1419" s="8" t="str">
        <f aca="false">IF($A1419="","",IF($B1419&lt;PlanDate,"Late",""))</f>
        <v/>
      </c>
    </row>
    <row r="1420" customFormat="false" ht="15" hidden="false" customHeight="false" outlineLevel="0" collapsed="false">
      <c r="A1420" s="11"/>
      <c r="B1420" s="6"/>
      <c r="C1420" s="11"/>
      <c r="D1420" s="11"/>
      <c r="E1420" s="8" t="str">
        <f aca="false">IF($A1420="","",IF($B1420&lt;PlanDate,"Late",""))</f>
        <v/>
      </c>
    </row>
    <row r="1421" customFormat="false" ht="15" hidden="false" customHeight="false" outlineLevel="0" collapsed="false">
      <c r="A1421" s="11"/>
      <c r="B1421" s="6"/>
      <c r="C1421" s="11"/>
      <c r="D1421" s="11"/>
      <c r="E1421" s="8" t="str">
        <f aca="false">IF($A1421="","",IF($B1421&lt;PlanDate,"Late",""))</f>
        <v/>
      </c>
    </row>
    <row r="1422" customFormat="false" ht="15" hidden="false" customHeight="false" outlineLevel="0" collapsed="false">
      <c r="A1422" s="11"/>
      <c r="B1422" s="6"/>
      <c r="C1422" s="11"/>
      <c r="D1422" s="11"/>
      <c r="E1422" s="8" t="str">
        <f aca="false">IF($A1422="","",IF($B1422&lt;PlanDate,"Late",""))</f>
        <v/>
      </c>
    </row>
    <row r="1423" customFormat="false" ht="15" hidden="false" customHeight="false" outlineLevel="0" collapsed="false">
      <c r="A1423" s="11"/>
      <c r="B1423" s="6"/>
      <c r="C1423" s="11"/>
      <c r="D1423" s="11"/>
      <c r="E1423" s="8" t="str">
        <f aca="false">IF($A1423="","",IF($B1423&lt;PlanDate,"Late",""))</f>
        <v/>
      </c>
    </row>
    <row r="1424" customFormat="false" ht="15" hidden="false" customHeight="false" outlineLevel="0" collapsed="false">
      <c r="A1424" s="11"/>
      <c r="B1424" s="6"/>
      <c r="C1424" s="11"/>
      <c r="D1424" s="11"/>
      <c r="E1424" s="8" t="str">
        <f aca="false">IF($A1424="","",IF($B1424&lt;PlanDate,"Late",""))</f>
        <v/>
      </c>
    </row>
    <row r="1425" customFormat="false" ht="15" hidden="false" customHeight="false" outlineLevel="0" collapsed="false">
      <c r="A1425" s="11"/>
      <c r="B1425" s="6"/>
      <c r="C1425" s="11"/>
      <c r="D1425" s="11"/>
      <c r="E1425" s="8" t="str">
        <f aca="false">IF($A1425="","",IF($B1425&lt;PlanDate,"Late",""))</f>
        <v/>
      </c>
    </row>
    <row r="1426" customFormat="false" ht="15" hidden="false" customHeight="false" outlineLevel="0" collapsed="false">
      <c r="A1426" s="11"/>
      <c r="B1426" s="6"/>
      <c r="C1426" s="11"/>
      <c r="D1426" s="11"/>
      <c r="E1426" s="8" t="str">
        <f aca="false">IF($A1426="","",IF($B1426&lt;PlanDate,"Late",""))</f>
        <v/>
      </c>
    </row>
    <row r="1427" customFormat="false" ht="15" hidden="false" customHeight="false" outlineLevel="0" collapsed="false">
      <c r="A1427" s="11"/>
      <c r="B1427" s="6"/>
      <c r="C1427" s="11"/>
      <c r="D1427" s="11"/>
      <c r="E1427" s="8" t="str">
        <f aca="false">IF($A1427="","",IF($B1427&lt;PlanDate,"Late",""))</f>
        <v/>
      </c>
    </row>
    <row r="1428" customFormat="false" ht="15" hidden="false" customHeight="false" outlineLevel="0" collapsed="false">
      <c r="A1428" s="11"/>
      <c r="B1428" s="6"/>
      <c r="C1428" s="11"/>
      <c r="D1428" s="11"/>
      <c r="E1428" s="8" t="str">
        <f aca="false">IF($A1428="","",IF($B1428&lt;PlanDate,"Late",""))</f>
        <v/>
      </c>
    </row>
    <row r="1429" customFormat="false" ht="15" hidden="false" customHeight="false" outlineLevel="0" collapsed="false">
      <c r="A1429" s="11"/>
      <c r="B1429" s="6"/>
      <c r="C1429" s="11"/>
      <c r="D1429" s="11"/>
      <c r="E1429" s="8" t="str">
        <f aca="false">IF($A1429="","",IF($B1429&lt;PlanDate,"Late",""))</f>
        <v/>
      </c>
    </row>
    <row r="1430" customFormat="false" ht="15" hidden="false" customHeight="false" outlineLevel="0" collapsed="false">
      <c r="A1430" s="11"/>
      <c r="B1430" s="6"/>
      <c r="C1430" s="11"/>
      <c r="D1430" s="11"/>
      <c r="E1430" s="8" t="str">
        <f aca="false">IF($A1430="","",IF($B1430&lt;PlanDate,"Late",""))</f>
        <v/>
      </c>
    </row>
    <row r="1431" customFormat="false" ht="15" hidden="false" customHeight="false" outlineLevel="0" collapsed="false">
      <c r="A1431" s="11"/>
      <c r="B1431" s="6"/>
      <c r="C1431" s="11"/>
      <c r="D1431" s="11"/>
      <c r="E1431" s="8" t="str">
        <f aca="false">IF($A1431="","",IF($B1431&lt;PlanDate,"Late",""))</f>
        <v/>
      </c>
    </row>
    <row r="1432" customFormat="false" ht="15" hidden="false" customHeight="false" outlineLevel="0" collapsed="false">
      <c r="A1432" s="11"/>
      <c r="B1432" s="6"/>
      <c r="C1432" s="11"/>
      <c r="D1432" s="11"/>
      <c r="E1432" s="8" t="str">
        <f aca="false">IF($A1432="","",IF($B1432&lt;PlanDate,"Late",""))</f>
        <v/>
      </c>
    </row>
    <row r="1433" customFormat="false" ht="15" hidden="false" customHeight="false" outlineLevel="0" collapsed="false">
      <c r="A1433" s="11"/>
      <c r="B1433" s="6"/>
      <c r="C1433" s="11"/>
      <c r="D1433" s="11"/>
      <c r="E1433" s="8" t="str">
        <f aca="false">IF($A1433="","",IF($B1433&lt;PlanDate,"Late",""))</f>
        <v/>
      </c>
    </row>
    <row r="1434" customFormat="false" ht="15" hidden="false" customHeight="false" outlineLevel="0" collapsed="false">
      <c r="A1434" s="11"/>
      <c r="B1434" s="6"/>
      <c r="C1434" s="11"/>
      <c r="D1434" s="11"/>
      <c r="E1434" s="8" t="str">
        <f aca="false">IF($A1434="","",IF($B1434&lt;PlanDate,"Late",""))</f>
        <v/>
      </c>
    </row>
    <row r="1435" customFormat="false" ht="15" hidden="false" customHeight="false" outlineLevel="0" collapsed="false">
      <c r="A1435" s="11"/>
      <c r="B1435" s="6"/>
      <c r="C1435" s="11"/>
      <c r="D1435" s="11"/>
      <c r="E1435" s="8" t="str">
        <f aca="false">IF($A1435="","",IF($B1435&lt;PlanDate,"Late",""))</f>
        <v/>
      </c>
    </row>
    <row r="1436" customFormat="false" ht="15" hidden="false" customHeight="false" outlineLevel="0" collapsed="false">
      <c r="A1436" s="11"/>
      <c r="B1436" s="6"/>
      <c r="C1436" s="11"/>
      <c r="D1436" s="11"/>
      <c r="E1436" s="8" t="str">
        <f aca="false">IF($A1436="","",IF($B1436&lt;PlanDate,"Late",""))</f>
        <v/>
      </c>
    </row>
    <row r="1437" customFormat="false" ht="15" hidden="false" customHeight="false" outlineLevel="0" collapsed="false">
      <c r="A1437" s="11"/>
      <c r="B1437" s="6"/>
      <c r="C1437" s="11"/>
      <c r="D1437" s="11"/>
      <c r="E1437" s="8" t="str">
        <f aca="false">IF($A1437="","",IF($B1437&lt;PlanDate,"Late",""))</f>
        <v/>
      </c>
    </row>
    <row r="1438" customFormat="false" ht="15" hidden="false" customHeight="false" outlineLevel="0" collapsed="false">
      <c r="A1438" s="11"/>
      <c r="B1438" s="6"/>
      <c r="C1438" s="11"/>
      <c r="D1438" s="11"/>
      <c r="E1438" s="8" t="str">
        <f aca="false">IF($A1438="","",IF($B1438&lt;PlanDate,"Late",""))</f>
        <v/>
      </c>
    </row>
    <row r="1439" customFormat="false" ht="15" hidden="false" customHeight="false" outlineLevel="0" collapsed="false">
      <c r="A1439" s="11"/>
      <c r="B1439" s="6"/>
      <c r="C1439" s="11"/>
      <c r="D1439" s="11"/>
      <c r="E1439" s="8" t="str">
        <f aca="false">IF($A1439="","",IF($B1439&lt;PlanDate,"Late",""))</f>
        <v/>
      </c>
    </row>
    <row r="1440" customFormat="false" ht="15" hidden="false" customHeight="false" outlineLevel="0" collapsed="false">
      <c r="A1440" s="11"/>
      <c r="B1440" s="6"/>
      <c r="C1440" s="11"/>
      <c r="D1440" s="11"/>
      <c r="E1440" s="8" t="str">
        <f aca="false">IF($A1440="","",IF($B1440&lt;PlanDate,"Late",""))</f>
        <v/>
      </c>
    </row>
    <row r="1441" customFormat="false" ht="15" hidden="false" customHeight="false" outlineLevel="0" collapsed="false">
      <c r="A1441" s="11"/>
      <c r="B1441" s="6"/>
      <c r="C1441" s="11"/>
      <c r="D1441" s="11"/>
      <c r="E1441" s="8" t="str">
        <f aca="false">IF($A1441="","",IF($B1441&lt;PlanDate,"Late",""))</f>
        <v/>
      </c>
    </row>
    <row r="1442" customFormat="false" ht="15" hidden="false" customHeight="false" outlineLevel="0" collapsed="false">
      <c r="A1442" s="11"/>
      <c r="B1442" s="6"/>
      <c r="C1442" s="11"/>
      <c r="D1442" s="11"/>
      <c r="E1442" s="8" t="str">
        <f aca="false">IF($A1442="","",IF($B1442&lt;PlanDate,"Late",""))</f>
        <v/>
      </c>
    </row>
    <row r="1443" customFormat="false" ht="15" hidden="false" customHeight="false" outlineLevel="0" collapsed="false">
      <c r="A1443" s="11"/>
      <c r="B1443" s="6"/>
      <c r="C1443" s="11"/>
      <c r="D1443" s="11"/>
      <c r="E1443" s="8" t="str">
        <f aca="false">IF($A1443="","",IF($B1443&lt;PlanDate,"Late",""))</f>
        <v/>
      </c>
    </row>
    <row r="1444" customFormat="false" ht="15" hidden="false" customHeight="false" outlineLevel="0" collapsed="false">
      <c r="A1444" s="11"/>
      <c r="B1444" s="6"/>
      <c r="C1444" s="11"/>
      <c r="D1444" s="11"/>
      <c r="E1444" s="8" t="str">
        <f aca="false">IF($A1444="","",IF($B1444&lt;PlanDate,"Late",""))</f>
        <v/>
      </c>
    </row>
    <row r="1445" customFormat="false" ht="15" hidden="false" customHeight="false" outlineLevel="0" collapsed="false">
      <c r="A1445" s="11"/>
      <c r="B1445" s="6"/>
      <c r="C1445" s="11"/>
      <c r="D1445" s="11"/>
      <c r="E1445" s="8" t="str">
        <f aca="false">IF($A1445="","",IF($B1445&lt;PlanDate,"Late",""))</f>
        <v/>
      </c>
    </row>
    <row r="1446" customFormat="false" ht="15" hidden="false" customHeight="false" outlineLevel="0" collapsed="false">
      <c r="A1446" s="11"/>
      <c r="B1446" s="6"/>
      <c r="C1446" s="11"/>
      <c r="D1446" s="11"/>
      <c r="E1446" s="8" t="str">
        <f aca="false">IF($A1446="","",IF($B1446&lt;PlanDate,"Late",""))</f>
        <v/>
      </c>
    </row>
    <row r="1447" customFormat="false" ht="15" hidden="false" customHeight="false" outlineLevel="0" collapsed="false">
      <c r="A1447" s="11"/>
      <c r="B1447" s="6"/>
      <c r="C1447" s="11"/>
      <c r="D1447" s="11"/>
      <c r="E1447" s="8" t="str">
        <f aca="false">IF($A1447="","",IF($B1447&lt;PlanDate,"Late",""))</f>
        <v/>
      </c>
    </row>
    <row r="1448" customFormat="false" ht="15" hidden="false" customHeight="false" outlineLevel="0" collapsed="false">
      <c r="A1448" s="11"/>
      <c r="B1448" s="6"/>
      <c r="C1448" s="11"/>
      <c r="D1448" s="11"/>
      <c r="E1448" s="8" t="str">
        <f aca="false">IF($A1448="","",IF($B1448&lt;PlanDate,"Late",""))</f>
        <v/>
      </c>
    </row>
    <row r="1449" customFormat="false" ht="15" hidden="false" customHeight="false" outlineLevel="0" collapsed="false">
      <c r="A1449" s="11"/>
      <c r="B1449" s="6"/>
      <c r="C1449" s="11"/>
      <c r="D1449" s="11"/>
      <c r="E1449" s="8" t="str">
        <f aca="false">IF($A1449="","",IF($B1449&lt;PlanDate,"Late",""))</f>
        <v/>
      </c>
    </row>
    <row r="1450" customFormat="false" ht="15" hidden="false" customHeight="false" outlineLevel="0" collapsed="false">
      <c r="A1450" s="11"/>
      <c r="B1450" s="6"/>
      <c r="C1450" s="11"/>
      <c r="D1450" s="11"/>
      <c r="E1450" s="8" t="str">
        <f aca="false">IF($A1450="","",IF($B1450&lt;PlanDate,"Late",""))</f>
        <v/>
      </c>
    </row>
    <row r="1451" customFormat="false" ht="15" hidden="false" customHeight="false" outlineLevel="0" collapsed="false">
      <c r="A1451" s="11"/>
      <c r="B1451" s="6"/>
      <c r="C1451" s="11"/>
      <c r="D1451" s="11"/>
      <c r="E1451" s="8" t="str">
        <f aca="false">IF($A1451="","",IF($B1451&lt;PlanDate,"Late",""))</f>
        <v/>
      </c>
    </row>
    <row r="1452" customFormat="false" ht="15" hidden="false" customHeight="false" outlineLevel="0" collapsed="false">
      <c r="A1452" s="11"/>
      <c r="B1452" s="6"/>
      <c r="C1452" s="11"/>
      <c r="D1452" s="11"/>
      <c r="E1452" s="8" t="str">
        <f aca="false">IF($A1452="","",IF($B1452&lt;PlanDate,"Late",""))</f>
        <v/>
      </c>
    </row>
    <row r="1453" customFormat="false" ht="15" hidden="false" customHeight="false" outlineLevel="0" collapsed="false">
      <c r="A1453" s="11"/>
      <c r="B1453" s="6"/>
      <c r="C1453" s="11"/>
      <c r="D1453" s="11"/>
      <c r="E1453" s="8" t="str">
        <f aca="false">IF($A1453="","",IF($B1453&lt;PlanDate,"Late",""))</f>
        <v/>
      </c>
    </row>
    <row r="1454" customFormat="false" ht="15" hidden="false" customHeight="false" outlineLevel="0" collapsed="false">
      <c r="A1454" s="11"/>
      <c r="B1454" s="6"/>
      <c r="C1454" s="11"/>
      <c r="D1454" s="11"/>
      <c r="E1454" s="8" t="str">
        <f aca="false">IF($A1454="","",IF($B1454&lt;PlanDate,"Late",""))</f>
        <v/>
      </c>
    </row>
    <row r="1455" customFormat="false" ht="15" hidden="false" customHeight="false" outlineLevel="0" collapsed="false">
      <c r="A1455" s="11"/>
      <c r="B1455" s="6"/>
      <c r="C1455" s="11"/>
      <c r="D1455" s="11"/>
      <c r="E1455" s="8" t="str">
        <f aca="false">IF($A1455="","",IF($B1455&lt;PlanDate,"Late",""))</f>
        <v/>
      </c>
    </row>
    <row r="1456" customFormat="false" ht="15" hidden="false" customHeight="false" outlineLevel="0" collapsed="false">
      <c r="A1456" s="11"/>
      <c r="B1456" s="6"/>
      <c r="C1456" s="11"/>
      <c r="D1456" s="11"/>
      <c r="E1456" s="8" t="str">
        <f aca="false">IF($A1456="","",IF($B1456&lt;PlanDate,"Late",""))</f>
        <v/>
      </c>
    </row>
    <row r="1457" customFormat="false" ht="15" hidden="false" customHeight="false" outlineLevel="0" collapsed="false">
      <c r="A1457" s="11"/>
      <c r="B1457" s="6"/>
      <c r="C1457" s="11"/>
      <c r="D1457" s="11"/>
      <c r="E1457" s="8" t="str">
        <f aca="false">IF($A1457="","",IF($B1457&lt;PlanDate,"Late",""))</f>
        <v/>
      </c>
    </row>
    <row r="1458" customFormat="false" ht="15" hidden="false" customHeight="false" outlineLevel="0" collapsed="false">
      <c r="A1458" s="11"/>
      <c r="B1458" s="6"/>
      <c r="C1458" s="11"/>
      <c r="D1458" s="11"/>
      <c r="E1458" s="8" t="str">
        <f aca="false">IF($A1458="","",IF($B1458&lt;PlanDate,"Late",""))</f>
        <v/>
      </c>
    </row>
    <row r="1459" customFormat="false" ht="15" hidden="false" customHeight="false" outlineLevel="0" collapsed="false">
      <c r="A1459" s="11"/>
      <c r="B1459" s="6"/>
      <c r="C1459" s="11"/>
      <c r="D1459" s="11"/>
      <c r="E1459" s="8" t="str">
        <f aca="false">IF($A1459="","",IF($B1459&lt;PlanDate,"Late",""))</f>
        <v/>
      </c>
    </row>
    <row r="1460" customFormat="false" ht="15" hidden="false" customHeight="false" outlineLevel="0" collapsed="false">
      <c r="A1460" s="11"/>
      <c r="B1460" s="6"/>
      <c r="C1460" s="11"/>
      <c r="D1460" s="11"/>
      <c r="E1460" s="8" t="str">
        <f aca="false">IF($A1460="","",IF($B1460&lt;PlanDate,"Late",""))</f>
        <v/>
      </c>
    </row>
    <row r="1461" customFormat="false" ht="15" hidden="false" customHeight="false" outlineLevel="0" collapsed="false">
      <c r="A1461" s="11"/>
      <c r="B1461" s="6"/>
      <c r="C1461" s="11"/>
      <c r="D1461" s="11"/>
      <c r="E1461" s="8" t="str">
        <f aca="false">IF($A1461="","",IF($B1461&lt;PlanDate,"Late",""))</f>
        <v/>
      </c>
    </row>
    <row r="1462" customFormat="false" ht="15" hidden="false" customHeight="false" outlineLevel="0" collapsed="false">
      <c r="A1462" s="11"/>
      <c r="B1462" s="6"/>
      <c r="C1462" s="11"/>
      <c r="D1462" s="11"/>
      <c r="E1462" s="8" t="str">
        <f aca="false">IF($A1462="","",IF($B1462&lt;PlanDate,"Late",""))</f>
        <v/>
      </c>
    </row>
    <row r="1463" customFormat="false" ht="15" hidden="false" customHeight="false" outlineLevel="0" collapsed="false">
      <c r="A1463" s="11"/>
      <c r="B1463" s="6"/>
      <c r="C1463" s="11"/>
      <c r="D1463" s="11"/>
      <c r="E1463" s="8" t="str">
        <f aca="false">IF($A1463="","",IF($B1463&lt;PlanDate,"Late",""))</f>
        <v/>
      </c>
    </row>
    <row r="1464" customFormat="false" ht="15" hidden="false" customHeight="false" outlineLevel="0" collapsed="false">
      <c r="A1464" s="11"/>
      <c r="B1464" s="6"/>
      <c r="C1464" s="11"/>
      <c r="D1464" s="11"/>
      <c r="E1464" s="8" t="str">
        <f aca="false">IF($A1464="","",IF($B1464&lt;PlanDate,"Late",""))</f>
        <v/>
      </c>
    </row>
    <row r="1465" customFormat="false" ht="15" hidden="false" customHeight="false" outlineLevel="0" collapsed="false">
      <c r="A1465" s="11"/>
      <c r="B1465" s="6"/>
      <c r="C1465" s="11"/>
      <c r="D1465" s="11"/>
      <c r="E1465" s="8" t="str">
        <f aca="false">IF($A1465="","",IF($B1465&lt;PlanDate,"Late",""))</f>
        <v/>
      </c>
    </row>
    <row r="1466" customFormat="false" ht="15" hidden="false" customHeight="false" outlineLevel="0" collapsed="false">
      <c r="A1466" s="11"/>
      <c r="B1466" s="6"/>
      <c r="C1466" s="11"/>
      <c r="D1466" s="11"/>
      <c r="E1466" s="8" t="str">
        <f aca="false">IF($A1466="","",IF($B1466&lt;PlanDate,"Late",""))</f>
        <v/>
      </c>
    </row>
    <row r="1467" customFormat="false" ht="15" hidden="false" customHeight="false" outlineLevel="0" collapsed="false">
      <c r="A1467" s="11"/>
      <c r="B1467" s="6"/>
      <c r="C1467" s="11"/>
      <c r="D1467" s="11"/>
      <c r="E1467" s="8" t="str">
        <f aca="false">IF($A1467="","",IF($B1467&lt;PlanDate,"Late",""))</f>
        <v/>
      </c>
    </row>
    <row r="1468" customFormat="false" ht="15" hidden="false" customHeight="false" outlineLevel="0" collapsed="false">
      <c r="A1468" s="11"/>
      <c r="B1468" s="6"/>
      <c r="C1468" s="11"/>
      <c r="D1468" s="11"/>
      <c r="E1468" s="8" t="str">
        <f aca="false">IF($A1468="","",IF($B1468&lt;PlanDate,"Late",""))</f>
        <v/>
      </c>
    </row>
    <row r="1469" customFormat="false" ht="15" hidden="false" customHeight="false" outlineLevel="0" collapsed="false">
      <c r="A1469" s="11"/>
      <c r="B1469" s="6"/>
      <c r="C1469" s="11"/>
      <c r="D1469" s="11"/>
      <c r="E1469" s="8" t="str">
        <f aca="false">IF($A1469="","",IF($B1469&lt;PlanDate,"Late",""))</f>
        <v/>
      </c>
    </row>
    <row r="1470" customFormat="false" ht="15" hidden="false" customHeight="false" outlineLevel="0" collapsed="false">
      <c r="A1470" s="11"/>
      <c r="B1470" s="6"/>
      <c r="C1470" s="11"/>
      <c r="D1470" s="11"/>
      <c r="E1470" s="8" t="str">
        <f aca="false">IF($A1470="","",IF($B1470&lt;PlanDate,"Late",""))</f>
        <v/>
      </c>
    </row>
    <row r="1471" customFormat="false" ht="15" hidden="false" customHeight="false" outlineLevel="0" collapsed="false">
      <c r="A1471" s="11"/>
      <c r="B1471" s="6"/>
      <c r="C1471" s="11"/>
      <c r="D1471" s="11"/>
      <c r="E1471" s="8" t="str">
        <f aca="false">IF($A1471="","",IF($B1471&lt;PlanDate,"Late",""))</f>
        <v/>
      </c>
    </row>
    <row r="1472" customFormat="false" ht="15" hidden="false" customHeight="false" outlineLevel="0" collapsed="false">
      <c r="A1472" s="11"/>
      <c r="B1472" s="6"/>
      <c r="C1472" s="11"/>
      <c r="D1472" s="11"/>
      <c r="E1472" s="8" t="str">
        <f aca="false">IF($A1472="","",IF($B1472&lt;PlanDate,"Late",""))</f>
        <v/>
      </c>
    </row>
    <row r="1473" customFormat="false" ht="15" hidden="false" customHeight="false" outlineLevel="0" collapsed="false">
      <c r="A1473" s="11"/>
      <c r="B1473" s="6"/>
      <c r="C1473" s="11"/>
      <c r="D1473" s="11"/>
      <c r="E1473" s="8" t="str">
        <f aca="false">IF($A1473="","",IF($B1473&lt;PlanDate,"Late",""))</f>
        <v/>
      </c>
    </row>
    <row r="1474" customFormat="false" ht="15" hidden="false" customHeight="false" outlineLevel="0" collapsed="false">
      <c r="A1474" s="11"/>
      <c r="B1474" s="6"/>
      <c r="C1474" s="11"/>
      <c r="D1474" s="11"/>
      <c r="E1474" s="8" t="str">
        <f aca="false">IF($A1474="","",IF($B1474&lt;PlanDate,"Late",""))</f>
        <v/>
      </c>
    </row>
    <row r="1475" customFormat="false" ht="15" hidden="false" customHeight="false" outlineLevel="0" collapsed="false">
      <c r="A1475" s="11"/>
      <c r="B1475" s="6"/>
      <c r="C1475" s="11"/>
      <c r="D1475" s="11"/>
      <c r="E1475" s="8" t="str">
        <f aca="false">IF($A1475="","",IF($B1475&lt;PlanDate,"Late",""))</f>
        <v/>
      </c>
    </row>
    <row r="1476" customFormat="false" ht="15" hidden="false" customHeight="false" outlineLevel="0" collapsed="false">
      <c r="A1476" s="11"/>
      <c r="B1476" s="6"/>
      <c r="C1476" s="11"/>
      <c r="D1476" s="11"/>
      <c r="E1476" s="8" t="str">
        <f aca="false">IF($A1476="","",IF($B1476&lt;PlanDate,"Late",""))</f>
        <v/>
      </c>
    </row>
    <row r="1477" customFormat="false" ht="15" hidden="false" customHeight="false" outlineLevel="0" collapsed="false">
      <c r="A1477" s="11"/>
      <c r="B1477" s="6"/>
      <c r="C1477" s="11"/>
      <c r="D1477" s="11"/>
      <c r="E1477" s="8" t="str">
        <f aca="false">IF($A1477="","",IF($B1477&lt;PlanDate,"Late",""))</f>
        <v/>
      </c>
    </row>
    <row r="1478" customFormat="false" ht="15" hidden="false" customHeight="false" outlineLevel="0" collapsed="false">
      <c r="A1478" s="11"/>
      <c r="B1478" s="6"/>
      <c r="C1478" s="11"/>
      <c r="D1478" s="11"/>
      <c r="E1478" s="8" t="str">
        <f aca="false">IF($A1478="","",IF($B1478&lt;PlanDate,"Late",""))</f>
        <v/>
      </c>
    </row>
    <row r="1479" customFormat="false" ht="15" hidden="false" customHeight="false" outlineLevel="0" collapsed="false">
      <c r="A1479" s="11"/>
      <c r="B1479" s="6"/>
      <c r="C1479" s="11"/>
      <c r="D1479" s="11"/>
      <c r="E1479" s="8" t="str">
        <f aca="false">IF($A1479="","",IF($B1479&lt;PlanDate,"Late",""))</f>
        <v/>
      </c>
    </row>
    <row r="1480" customFormat="false" ht="15" hidden="false" customHeight="false" outlineLevel="0" collapsed="false">
      <c r="A1480" s="11"/>
      <c r="B1480" s="6"/>
      <c r="C1480" s="11"/>
      <c r="D1480" s="11"/>
      <c r="E1480" s="8" t="str">
        <f aca="false">IF($A1480="","",IF($B1480&lt;PlanDate,"Late",""))</f>
        <v/>
      </c>
    </row>
    <row r="1481" customFormat="false" ht="15" hidden="false" customHeight="false" outlineLevel="0" collapsed="false">
      <c r="A1481" s="11"/>
      <c r="B1481" s="6"/>
      <c r="C1481" s="11"/>
      <c r="D1481" s="11"/>
      <c r="E1481" s="8" t="str">
        <f aca="false">IF($A1481="","",IF($B1481&lt;PlanDate,"Late",""))</f>
        <v/>
      </c>
    </row>
    <row r="1482" customFormat="false" ht="15" hidden="false" customHeight="false" outlineLevel="0" collapsed="false">
      <c r="A1482" s="11"/>
      <c r="B1482" s="6"/>
      <c r="C1482" s="11"/>
      <c r="D1482" s="11"/>
      <c r="E1482" s="8" t="str">
        <f aca="false">IF($A1482="","",IF($B1482&lt;PlanDate,"Late",""))</f>
        <v/>
      </c>
    </row>
    <row r="1483" customFormat="false" ht="15" hidden="false" customHeight="false" outlineLevel="0" collapsed="false">
      <c r="A1483" s="11"/>
      <c r="B1483" s="6"/>
      <c r="C1483" s="11"/>
      <c r="D1483" s="11"/>
      <c r="E1483" s="8" t="str">
        <f aca="false">IF($A1483="","",IF($B1483&lt;PlanDate,"Late",""))</f>
        <v/>
      </c>
    </row>
    <row r="1484" customFormat="false" ht="15" hidden="false" customHeight="false" outlineLevel="0" collapsed="false">
      <c r="A1484" s="11"/>
      <c r="B1484" s="6"/>
      <c r="C1484" s="11"/>
      <c r="D1484" s="11"/>
      <c r="E1484" s="8" t="str">
        <f aca="false">IF($A1484="","",IF($B1484&lt;PlanDate,"Late",""))</f>
        <v/>
      </c>
    </row>
    <row r="1485" customFormat="false" ht="15" hidden="false" customHeight="false" outlineLevel="0" collapsed="false">
      <c r="A1485" s="11"/>
      <c r="B1485" s="6"/>
      <c r="C1485" s="11"/>
      <c r="D1485" s="11"/>
      <c r="E1485" s="8" t="str">
        <f aca="false">IF($A1485="","",IF($B1485&lt;PlanDate,"Late",""))</f>
        <v/>
      </c>
    </row>
    <row r="1486" customFormat="false" ht="15" hidden="false" customHeight="false" outlineLevel="0" collapsed="false">
      <c r="A1486" s="11"/>
      <c r="B1486" s="6"/>
      <c r="C1486" s="11"/>
      <c r="D1486" s="11"/>
      <c r="E1486" s="8" t="str">
        <f aca="false">IF($A1486="","",IF($B1486&lt;PlanDate,"Late",""))</f>
        <v/>
      </c>
    </row>
    <row r="1487" customFormat="false" ht="15" hidden="false" customHeight="false" outlineLevel="0" collapsed="false">
      <c r="A1487" s="11"/>
      <c r="B1487" s="6"/>
      <c r="C1487" s="11"/>
      <c r="D1487" s="11"/>
      <c r="E1487" s="8" t="str">
        <f aca="false">IF($A1487="","",IF($B1487&lt;PlanDate,"Late",""))</f>
        <v/>
      </c>
    </row>
    <row r="1488" customFormat="false" ht="15" hidden="false" customHeight="false" outlineLevel="0" collapsed="false">
      <c r="A1488" s="11"/>
      <c r="B1488" s="6"/>
      <c r="C1488" s="11"/>
      <c r="D1488" s="11"/>
      <c r="E1488" s="8" t="str">
        <f aca="false">IF($A1488="","",IF($B1488&lt;PlanDate,"Late",""))</f>
        <v/>
      </c>
    </row>
    <row r="1489" customFormat="false" ht="15" hidden="false" customHeight="false" outlineLevel="0" collapsed="false">
      <c r="A1489" s="11"/>
      <c r="B1489" s="6"/>
      <c r="C1489" s="11"/>
      <c r="D1489" s="11"/>
      <c r="E1489" s="8" t="str">
        <f aca="false">IF($A1489="","",IF($B1489&lt;PlanDate,"Late",""))</f>
        <v/>
      </c>
    </row>
    <row r="1490" customFormat="false" ht="15" hidden="false" customHeight="false" outlineLevel="0" collapsed="false">
      <c r="A1490" s="11"/>
      <c r="B1490" s="6"/>
      <c r="C1490" s="11"/>
      <c r="D1490" s="11"/>
      <c r="E1490" s="8" t="str">
        <f aca="false">IF($A1490="","",IF($B1490&lt;PlanDate,"Late",""))</f>
        <v/>
      </c>
    </row>
    <row r="1491" customFormat="false" ht="15" hidden="false" customHeight="false" outlineLevel="0" collapsed="false">
      <c r="A1491" s="11"/>
      <c r="B1491" s="6"/>
      <c r="C1491" s="11"/>
      <c r="D1491" s="11"/>
      <c r="E1491" s="8" t="str">
        <f aca="false">IF($A1491="","",IF($B1491&lt;PlanDate,"Late",""))</f>
        <v/>
      </c>
    </row>
    <row r="1492" customFormat="false" ht="15" hidden="false" customHeight="false" outlineLevel="0" collapsed="false">
      <c r="A1492" s="11"/>
      <c r="B1492" s="6"/>
      <c r="C1492" s="11"/>
      <c r="D1492" s="11"/>
      <c r="E1492" s="8" t="str">
        <f aca="false">IF($A1492="","",IF($B1492&lt;PlanDate,"Late",""))</f>
        <v/>
      </c>
    </row>
    <row r="1493" customFormat="false" ht="15" hidden="false" customHeight="false" outlineLevel="0" collapsed="false">
      <c r="A1493" s="11"/>
      <c r="B1493" s="6"/>
      <c r="C1493" s="11"/>
      <c r="D1493" s="11"/>
      <c r="E1493" s="8" t="str">
        <f aca="false">IF($A1493="","",IF($B1493&lt;PlanDate,"Late",""))</f>
        <v/>
      </c>
    </row>
    <row r="1494" customFormat="false" ht="15" hidden="false" customHeight="false" outlineLevel="0" collapsed="false">
      <c r="A1494" s="11"/>
      <c r="B1494" s="6"/>
      <c r="C1494" s="11"/>
      <c r="D1494" s="11"/>
      <c r="E1494" s="8" t="str">
        <f aca="false">IF($A1494="","",IF($B1494&lt;PlanDate,"Late",""))</f>
        <v/>
      </c>
    </row>
    <row r="1495" customFormat="false" ht="15" hidden="false" customHeight="false" outlineLevel="0" collapsed="false">
      <c r="A1495" s="11"/>
      <c r="B1495" s="6"/>
      <c r="C1495" s="11"/>
      <c r="D1495" s="11"/>
      <c r="E1495" s="8" t="str">
        <f aca="false">IF($A1495="","",IF($B1495&lt;PlanDate,"Late",""))</f>
        <v/>
      </c>
    </row>
    <row r="1496" customFormat="false" ht="15" hidden="false" customHeight="false" outlineLevel="0" collapsed="false">
      <c r="A1496" s="11"/>
      <c r="B1496" s="6"/>
      <c r="C1496" s="11"/>
      <c r="D1496" s="11"/>
      <c r="E1496" s="8" t="str">
        <f aca="false">IF($A1496="","",IF($B1496&lt;PlanDate,"Late",""))</f>
        <v/>
      </c>
    </row>
    <row r="1497" customFormat="false" ht="15" hidden="false" customHeight="false" outlineLevel="0" collapsed="false">
      <c r="A1497" s="11"/>
      <c r="B1497" s="6"/>
      <c r="C1497" s="11"/>
      <c r="D1497" s="11"/>
      <c r="E1497" s="8" t="str">
        <f aca="false">IF($A1497="","",IF($B1497&lt;PlanDate,"Late",""))</f>
        <v/>
      </c>
    </row>
    <row r="1498" customFormat="false" ht="15" hidden="false" customHeight="false" outlineLevel="0" collapsed="false">
      <c r="A1498" s="11"/>
      <c r="B1498" s="6"/>
      <c r="C1498" s="11"/>
      <c r="D1498" s="11"/>
      <c r="E1498" s="8" t="str">
        <f aca="false">IF($A1498="","",IF($B1498&lt;PlanDate,"Late",""))</f>
        <v/>
      </c>
    </row>
    <row r="1499" customFormat="false" ht="15" hidden="false" customHeight="false" outlineLevel="0" collapsed="false">
      <c r="A1499" s="11"/>
      <c r="B1499" s="6"/>
      <c r="C1499" s="11"/>
      <c r="D1499" s="11"/>
      <c r="E1499" s="8" t="str">
        <f aca="false">IF($A1499="","",IF($B1499&lt;PlanDate,"Late",""))</f>
        <v/>
      </c>
    </row>
    <row r="1500" customFormat="false" ht="15" hidden="false" customHeight="false" outlineLevel="0" collapsed="false">
      <c r="A1500" s="11"/>
      <c r="B1500" s="6"/>
      <c r="C1500" s="11"/>
      <c r="D1500" s="11"/>
      <c r="E1500" s="8" t="str">
        <f aca="false">IF($A1500="","",IF($B1500&lt;PlanDate,"Late",""))</f>
        <v/>
      </c>
    </row>
    <row r="1501" customFormat="false" ht="15" hidden="false" customHeight="false" outlineLevel="0" collapsed="false">
      <c r="A1501" s="11"/>
      <c r="B1501" s="6"/>
      <c r="C1501" s="11"/>
      <c r="D1501" s="11"/>
      <c r="E1501" s="8" t="str">
        <f aca="false">IF($A1501="","",IF($B1501&lt;PlanDate,"Late",""))</f>
        <v/>
      </c>
    </row>
    <row r="1502" customFormat="false" ht="15" hidden="false" customHeight="false" outlineLevel="0" collapsed="false">
      <c r="A1502" s="11"/>
      <c r="B1502" s="6"/>
      <c r="C1502" s="11"/>
      <c r="D1502" s="11"/>
      <c r="E1502" s="8" t="str">
        <f aca="false">IF($A1502="","",IF($B1502&lt;PlanDate,"Late",""))</f>
        <v/>
      </c>
    </row>
    <row r="1503" customFormat="false" ht="15" hidden="false" customHeight="false" outlineLevel="0" collapsed="false">
      <c r="A1503" s="11"/>
      <c r="B1503" s="6"/>
      <c r="C1503" s="11"/>
      <c r="D1503" s="11"/>
      <c r="E1503" s="8" t="str">
        <f aca="false">IF($A1503="","",IF($B1503&lt;PlanDate,"Late",""))</f>
        <v/>
      </c>
    </row>
    <row r="1504" customFormat="false" ht="15" hidden="false" customHeight="false" outlineLevel="0" collapsed="false">
      <c r="A1504" s="11"/>
      <c r="B1504" s="6"/>
      <c r="C1504" s="11"/>
      <c r="D1504" s="11"/>
      <c r="E1504" s="8" t="str">
        <f aca="false">IF($A1504="","",IF($B1504&lt;PlanDate,"Late",""))</f>
        <v/>
      </c>
    </row>
    <row r="1505" customFormat="false" ht="15" hidden="false" customHeight="false" outlineLevel="0" collapsed="false">
      <c r="A1505" s="11"/>
      <c r="B1505" s="6"/>
      <c r="C1505" s="11"/>
      <c r="D1505" s="11"/>
      <c r="E1505" s="8" t="str">
        <f aca="false">IF($A1505="","",IF($B1505&lt;PlanDate,"Late",""))</f>
        <v/>
      </c>
    </row>
    <row r="1506" customFormat="false" ht="15" hidden="false" customHeight="false" outlineLevel="0" collapsed="false">
      <c r="A1506" s="11"/>
      <c r="B1506" s="6"/>
      <c r="C1506" s="11"/>
      <c r="D1506" s="11"/>
      <c r="E1506" s="8" t="str">
        <f aca="false">IF($A1506="","",IF($B1506&lt;PlanDate,"Late",""))</f>
        <v/>
      </c>
    </row>
    <row r="1507" customFormat="false" ht="15" hidden="false" customHeight="false" outlineLevel="0" collapsed="false">
      <c r="A1507" s="11"/>
      <c r="B1507" s="6"/>
      <c r="C1507" s="11"/>
      <c r="D1507" s="11"/>
      <c r="E1507" s="8" t="str">
        <f aca="false">IF($A1507="","",IF($B1507&lt;PlanDate,"Late",""))</f>
        <v/>
      </c>
    </row>
    <row r="1508" customFormat="false" ht="15" hidden="false" customHeight="false" outlineLevel="0" collapsed="false">
      <c r="A1508" s="11"/>
      <c r="B1508" s="6"/>
      <c r="C1508" s="11"/>
      <c r="D1508" s="11"/>
      <c r="E1508" s="8" t="str">
        <f aca="false">IF($A1508="","",IF($B1508&lt;PlanDate,"Late",""))</f>
        <v/>
      </c>
    </row>
    <row r="1509" customFormat="false" ht="15" hidden="false" customHeight="false" outlineLevel="0" collapsed="false">
      <c r="A1509" s="11"/>
      <c r="B1509" s="6"/>
      <c r="C1509" s="11"/>
      <c r="D1509" s="11"/>
      <c r="E1509" s="8" t="str">
        <f aca="false">IF($A1509="","",IF($B1509&lt;PlanDate,"Late",""))</f>
        <v/>
      </c>
    </row>
    <row r="1510" customFormat="false" ht="15" hidden="false" customHeight="false" outlineLevel="0" collapsed="false">
      <c r="A1510" s="11"/>
      <c r="B1510" s="6"/>
      <c r="C1510" s="11"/>
      <c r="D1510" s="11"/>
      <c r="E1510" s="8" t="str">
        <f aca="false">IF($A1510="","",IF($B1510&lt;PlanDate,"Late",""))</f>
        <v/>
      </c>
    </row>
    <row r="1511" customFormat="false" ht="15" hidden="false" customHeight="false" outlineLevel="0" collapsed="false">
      <c r="A1511" s="11"/>
      <c r="B1511" s="6"/>
      <c r="C1511" s="11"/>
      <c r="D1511" s="11"/>
      <c r="E1511" s="8" t="str">
        <f aca="false">IF($A1511="","",IF($B1511&lt;PlanDate,"Late",""))</f>
        <v/>
      </c>
    </row>
    <row r="1512" customFormat="false" ht="15" hidden="false" customHeight="false" outlineLevel="0" collapsed="false">
      <c r="A1512" s="11"/>
      <c r="B1512" s="6"/>
      <c r="C1512" s="11"/>
      <c r="D1512" s="11"/>
      <c r="E1512" s="8" t="str">
        <f aca="false">IF($A1512="","",IF($B1512&lt;PlanDate,"Late",""))</f>
        <v/>
      </c>
    </row>
    <row r="1513" customFormat="false" ht="15" hidden="false" customHeight="false" outlineLevel="0" collapsed="false">
      <c r="A1513" s="11"/>
      <c r="B1513" s="6"/>
      <c r="C1513" s="11"/>
      <c r="D1513" s="11"/>
      <c r="E1513" s="8" t="str">
        <f aca="false">IF($A1513="","",IF($B1513&lt;PlanDate,"Late",""))</f>
        <v/>
      </c>
    </row>
    <row r="1514" customFormat="false" ht="15" hidden="false" customHeight="false" outlineLevel="0" collapsed="false">
      <c r="A1514" s="11"/>
      <c r="B1514" s="6"/>
      <c r="C1514" s="11"/>
      <c r="D1514" s="11"/>
      <c r="E1514" s="8" t="str">
        <f aca="false">IF($A1514="","",IF($B1514&lt;PlanDate,"Late",""))</f>
        <v/>
      </c>
    </row>
    <row r="1515" customFormat="false" ht="15" hidden="false" customHeight="false" outlineLevel="0" collapsed="false">
      <c r="A1515" s="11"/>
      <c r="B1515" s="6"/>
      <c r="C1515" s="11"/>
      <c r="D1515" s="11"/>
      <c r="E1515" s="8" t="str">
        <f aca="false">IF($A1515="","",IF($B1515&lt;PlanDate,"Late",""))</f>
        <v/>
      </c>
    </row>
    <row r="1516" customFormat="false" ht="15" hidden="false" customHeight="false" outlineLevel="0" collapsed="false">
      <c r="A1516" s="11"/>
      <c r="B1516" s="6"/>
      <c r="C1516" s="11"/>
      <c r="D1516" s="11"/>
      <c r="E1516" s="8" t="str">
        <f aca="false">IF($A1516="","",IF($B1516&lt;PlanDate,"Late",""))</f>
        <v/>
      </c>
    </row>
    <row r="1517" customFormat="false" ht="15" hidden="false" customHeight="false" outlineLevel="0" collapsed="false">
      <c r="A1517" s="11"/>
      <c r="B1517" s="6"/>
      <c r="C1517" s="11"/>
      <c r="D1517" s="11"/>
      <c r="E1517" s="8" t="str">
        <f aca="false">IF($A1517="","",IF($B1517&lt;PlanDate,"Late",""))</f>
        <v/>
      </c>
    </row>
    <row r="1518" customFormat="false" ht="15" hidden="false" customHeight="false" outlineLevel="0" collapsed="false">
      <c r="A1518" s="11"/>
      <c r="B1518" s="6"/>
      <c r="C1518" s="11"/>
      <c r="D1518" s="11"/>
      <c r="E1518" s="8" t="str">
        <f aca="false">IF($A1518="","",IF($B1518&lt;PlanDate,"Late",""))</f>
        <v/>
      </c>
    </row>
    <row r="1519" customFormat="false" ht="15" hidden="false" customHeight="false" outlineLevel="0" collapsed="false">
      <c r="A1519" s="11"/>
      <c r="B1519" s="6"/>
      <c r="C1519" s="11"/>
      <c r="D1519" s="11"/>
      <c r="E1519" s="8" t="str">
        <f aca="false">IF($A1519="","",IF($B1519&lt;PlanDate,"Late",""))</f>
        <v/>
      </c>
    </row>
    <row r="1520" customFormat="false" ht="15" hidden="false" customHeight="false" outlineLevel="0" collapsed="false">
      <c r="A1520" s="11"/>
      <c r="B1520" s="6"/>
      <c r="C1520" s="11"/>
      <c r="D1520" s="11"/>
      <c r="E1520" s="8" t="str">
        <f aca="false">IF($A1520="","",IF($B1520&lt;PlanDate,"Late",""))</f>
        <v/>
      </c>
    </row>
    <row r="1521" customFormat="false" ht="15" hidden="false" customHeight="false" outlineLevel="0" collapsed="false">
      <c r="A1521" s="11"/>
      <c r="B1521" s="6"/>
      <c r="C1521" s="11"/>
      <c r="D1521" s="11"/>
      <c r="E1521" s="8" t="str">
        <f aca="false">IF($A1521="","",IF($B1521&lt;PlanDate,"Late",""))</f>
        <v/>
      </c>
    </row>
    <row r="1522" customFormat="false" ht="15" hidden="false" customHeight="false" outlineLevel="0" collapsed="false">
      <c r="A1522" s="11"/>
      <c r="B1522" s="6"/>
      <c r="C1522" s="11"/>
      <c r="D1522" s="11"/>
      <c r="E1522" s="8" t="str">
        <f aca="false">IF($A1522="","",IF($B1522&lt;PlanDate,"Late",""))</f>
        <v/>
      </c>
    </row>
    <row r="1523" customFormat="false" ht="15" hidden="false" customHeight="false" outlineLevel="0" collapsed="false">
      <c r="A1523" s="11"/>
      <c r="B1523" s="6"/>
      <c r="C1523" s="11"/>
      <c r="D1523" s="11"/>
      <c r="E1523" s="8" t="str">
        <f aca="false">IF($A1523="","",IF($B1523&lt;PlanDate,"Late",""))</f>
        <v/>
      </c>
    </row>
    <row r="1524" customFormat="false" ht="15" hidden="false" customHeight="false" outlineLevel="0" collapsed="false">
      <c r="A1524" s="11"/>
      <c r="B1524" s="6"/>
      <c r="C1524" s="11"/>
      <c r="D1524" s="11"/>
      <c r="E1524" s="8" t="str">
        <f aca="false">IF($A1524="","",IF($B1524&lt;PlanDate,"Late",""))</f>
        <v/>
      </c>
    </row>
    <row r="1525" customFormat="false" ht="15" hidden="false" customHeight="false" outlineLevel="0" collapsed="false">
      <c r="A1525" s="11"/>
      <c r="B1525" s="6"/>
      <c r="C1525" s="11"/>
      <c r="D1525" s="11"/>
      <c r="E1525" s="8" t="str">
        <f aca="false">IF($A1525="","",IF($B1525&lt;PlanDate,"Late",""))</f>
        <v/>
      </c>
    </row>
    <row r="1526" customFormat="false" ht="15" hidden="false" customHeight="false" outlineLevel="0" collapsed="false">
      <c r="A1526" s="11"/>
      <c r="B1526" s="6"/>
      <c r="C1526" s="11"/>
      <c r="D1526" s="11"/>
      <c r="E1526" s="8" t="str">
        <f aca="false">IF($A1526="","",IF($B1526&lt;PlanDate,"Late",""))</f>
        <v/>
      </c>
    </row>
    <row r="1527" customFormat="false" ht="15" hidden="false" customHeight="false" outlineLevel="0" collapsed="false">
      <c r="A1527" s="11"/>
      <c r="B1527" s="6"/>
      <c r="C1527" s="11"/>
      <c r="D1527" s="11"/>
      <c r="E1527" s="8" t="str">
        <f aca="false">IF($A1527="","",IF($B1527&lt;PlanDate,"Late",""))</f>
        <v/>
      </c>
    </row>
    <row r="1528" customFormat="false" ht="15" hidden="false" customHeight="false" outlineLevel="0" collapsed="false">
      <c r="A1528" s="11"/>
      <c r="B1528" s="6"/>
      <c r="C1528" s="11"/>
      <c r="D1528" s="11"/>
      <c r="E1528" s="8" t="str">
        <f aca="false">IF($A1528="","",IF($B1528&lt;PlanDate,"Late",""))</f>
        <v/>
      </c>
    </row>
    <row r="1529" customFormat="false" ht="15" hidden="false" customHeight="false" outlineLevel="0" collapsed="false">
      <c r="A1529" s="11"/>
      <c r="B1529" s="6"/>
      <c r="C1529" s="11"/>
      <c r="D1529" s="11"/>
      <c r="E1529" s="8" t="str">
        <f aca="false">IF($A1529="","",IF($B1529&lt;PlanDate,"Late",""))</f>
        <v/>
      </c>
    </row>
    <row r="1530" customFormat="false" ht="15" hidden="false" customHeight="false" outlineLevel="0" collapsed="false">
      <c r="A1530" s="11"/>
      <c r="B1530" s="6"/>
      <c r="C1530" s="11"/>
      <c r="D1530" s="11"/>
      <c r="E1530" s="8" t="str">
        <f aca="false">IF($A1530="","",IF($B1530&lt;PlanDate,"Late",""))</f>
        <v/>
      </c>
    </row>
    <row r="1531" customFormat="false" ht="15" hidden="false" customHeight="false" outlineLevel="0" collapsed="false">
      <c r="A1531" s="11"/>
      <c r="B1531" s="6"/>
      <c r="C1531" s="11"/>
      <c r="D1531" s="11"/>
      <c r="E1531" s="8" t="str">
        <f aca="false">IF($A1531="","",IF($B1531&lt;PlanDate,"Late",""))</f>
        <v/>
      </c>
    </row>
    <row r="1532" customFormat="false" ht="15" hidden="false" customHeight="false" outlineLevel="0" collapsed="false">
      <c r="A1532" s="11"/>
      <c r="B1532" s="6"/>
      <c r="C1532" s="11"/>
      <c r="D1532" s="11"/>
      <c r="E1532" s="8" t="str">
        <f aca="false">IF($A1532="","",IF($B1532&lt;PlanDate,"Late",""))</f>
        <v/>
      </c>
    </row>
    <row r="1533" customFormat="false" ht="15" hidden="false" customHeight="false" outlineLevel="0" collapsed="false">
      <c r="A1533" s="11"/>
      <c r="B1533" s="6"/>
      <c r="C1533" s="11"/>
      <c r="D1533" s="11"/>
      <c r="E1533" s="8" t="str">
        <f aca="false">IF($A1533="","",IF($B1533&lt;PlanDate,"Late",""))</f>
        <v/>
      </c>
    </row>
    <row r="1534" customFormat="false" ht="15" hidden="false" customHeight="false" outlineLevel="0" collapsed="false">
      <c r="A1534" s="11"/>
      <c r="B1534" s="6"/>
      <c r="C1534" s="11"/>
      <c r="D1534" s="11"/>
      <c r="E1534" s="8" t="str">
        <f aca="false">IF($A1534="","",IF($B1534&lt;PlanDate,"Late",""))</f>
        <v/>
      </c>
    </row>
    <row r="1535" customFormat="false" ht="15" hidden="false" customHeight="false" outlineLevel="0" collapsed="false">
      <c r="A1535" s="11"/>
      <c r="B1535" s="6"/>
      <c r="C1535" s="11"/>
      <c r="D1535" s="11"/>
      <c r="E1535" s="8" t="str">
        <f aca="false">IF($A1535="","",IF($B1535&lt;PlanDate,"Late",""))</f>
        <v/>
      </c>
    </row>
    <row r="1536" customFormat="false" ht="15" hidden="false" customHeight="false" outlineLevel="0" collapsed="false">
      <c r="A1536" s="11"/>
      <c r="B1536" s="6"/>
      <c r="C1536" s="11"/>
      <c r="D1536" s="11"/>
      <c r="E1536" s="8" t="str">
        <f aca="false">IF($A1536="","",IF($B1536&lt;PlanDate,"Late",""))</f>
        <v/>
      </c>
    </row>
    <row r="1537" customFormat="false" ht="15" hidden="false" customHeight="false" outlineLevel="0" collapsed="false">
      <c r="A1537" s="11"/>
      <c r="B1537" s="6"/>
      <c r="C1537" s="11"/>
      <c r="D1537" s="11"/>
      <c r="E1537" s="8" t="str">
        <f aca="false">IF($A1537="","",IF($B1537&lt;PlanDate,"Late",""))</f>
        <v/>
      </c>
    </row>
    <row r="1538" customFormat="false" ht="15" hidden="false" customHeight="false" outlineLevel="0" collapsed="false">
      <c r="A1538" s="11"/>
      <c r="B1538" s="6"/>
      <c r="C1538" s="11"/>
      <c r="D1538" s="11"/>
      <c r="E1538" s="8" t="str">
        <f aca="false">IF($A1538="","",IF($B1538&lt;PlanDate,"Late",""))</f>
        <v/>
      </c>
    </row>
    <row r="1539" customFormat="false" ht="15" hidden="false" customHeight="false" outlineLevel="0" collapsed="false">
      <c r="A1539" s="11"/>
      <c r="B1539" s="6"/>
      <c r="C1539" s="11"/>
      <c r="D1539" s="11"/>
      <c r="E1539" s="8" t="str">
        <f aca="false">IF($A1539="","",IF($B1539&lt;PlanDate,"Late",""))</f>
        <v/>
      </c>
    </row>
    <row r="1540" customFormat="false" ht="15" hidden="false" customHeight="false" outlineLevel="0" collapsed="false">
      <c r="A1540" s="11"/>
      <c r="B1540" s="6"/>
      <c r="C1540" s="11"/>
      <c r="D1540" s="11"/>
      <c r="E1540" s="8" t="str">
        <f aca="false">IF($A1540="","",IF($B1540&lt;PlanDate,"Late",""))</f>
        <v/>
      </c>
    </row>
    <row r="1541" customFormat="false" ht="15" hidden="false" customHeight="false" outlineLevel="0" collapsed="false">
      <c r="A1541" s="11"/>
      <c r="B1541" s="6"/>
      <c r="C1541" s="11"/>
      <c r="D1541" s="11"/>
      <c r="E1541" s="8" t="str">
        <f aca="false">IF($A1541="","",IF($B1541&lt;PlanDate,"Late",""))</f>
        <v/>
      </c>
    </row>
    <row r="1542" customFormat="false" ht="15" hidden="false" customHeight="false" outlineLevel="0" collapsed="false">
      <c r="A1542" s="11"/>
      <c r="B1542" s="6"/>
      <c r="C1542" s="11"/>
      <c r="D1542" s="11"/>
      <c r="E1542" s="8" t="str">
        <f aca="false">IF($A1542="","",IF($B1542&lt;PlanDate,"Late",""))</f>
        <v/>
      </c>
    </row>
    <row r="1543" customFormat="false" ht="15" hidden="false" customHeight="false" outlineLevel="0" collapsed="false">
      <c r="A1543" s="11"/>
      <c r="B1543" s="6"/>
      <c r="C1543" s="11"/>
      <c r="D1543" s="11"/>
      <c r="E1543" s="8" t="str">
        <f aca="false">IF($A1543="","",IF($B1543&lt;PlanDate,"Late",""))</f>
        <v/>
      </c>
    </row>
    <row r="1544" customFormat="false" ht="15" hidden="false" customHeight="false" outlineLevel="0" collapsed="false">
      <c r="A1544" s="11"/>
      <c r="B1544" s="6"/>
      <c r="C1544" s="11"/>
      <c r="D1544" s="11"/>
      <c r="E1544" s="8" t="str">
        <f aca="false">IF($A1544="","",IF($B1544&lt;PlanDate,"Late",""))</f>
        <v/>
      </c>
    </row>
    <row r="1545" customFormat="false" ht="15" hidden="false" customHeight="false" outlineLevel="0" collapsed="false">
      <c r="A1545" s="11"/>
      <c r="B1545" s="6"/>
      <c r="C1545" s="11"/>
      <c r="D1545" s="11"/>
      <c r="E1545" s="8" t="str">
        <f aca="false">IF($A1545="","",IF($B1545&lt;PlanDate,"Late",""))</f>
        <v/>
      </c>
    </row>
    <row r="1546" customFormat="false" ht="15" hidden="false" customHeight="false" outlineLevel="0" collapsed="false">
      <c r="A1546" s="11"/>
      <c r="B1546" s="6"/>
      <c r="C1546" s="11"/>
      <c r="D1546" s="11"/>
      <c r="E1546" s="8" t="str">
        <f aca="false">IF($A1546="","",IF($B1546&lt;PlanDate,"Late",""))</f>
        <v/>
      </c>
    </row>
    <row r="1547" customFormat="false" ht="15" hidden="false" customHeight="false" outlineLevel="0" collapsed="false">
      <c r="A1547" s="11"/>
      <c r="B1547" s="6"/>
      <c r="C1547" s="11"/>
      <c r="D1547" s="11"/>
      <c r="E1547" s="8" t="str">
        <f aca="false">IF($A1547="","",IF($B1547&lt;PlanDate,"Late",""))</f>
        <v/>
      </c>
    </row>
    <row r="1548" customFormat="false" ht="15" hidden="false" customHeight="false" outlineLevel="0" collapsed="false">
      <c r="A1548" s="11"/>
      <c r="B1548" s="6"/>
      <c r="C1548" s="11"/>
      <c r="D1548" s="11"/>
      <c r="E1548" s="8" t="str">
        <f aca="false">IF($A1548="","",IF($B1548&lt;PlanDate,"Late",""))</f>
        <v/>
      </c>
    </row>
    <row r="1549" customFormat="false" ht="15" hidden="false" customHeight="false" outlineLevel="0" collapsed="false">
      <c r="A1549" s="11"/>
      <c r="B1549" s="6"/>
      <c r="C1549" s="11"/>
      <c r="D1549" s="11"/>
      <c r="E1549" s="8" t="str">
        <f aca="false">IF($A1549="","",IF($B1549&lt;PlanDate,"Late",""))</f>
        <v/>
      </c>
    </row>
    <row r="1550" customFormat="false" ht="15" hidden="false" customHeight="false" outlineLevel="0" collapsed="false">
      <c r="A1550" s="11"/>
      <c r="B1550" s="6"/>
      <c r="C1550" s="11"/>
      <c r="D1550" s="11"/>
      <c r="E1550" s="8" t="str">
        <f aca="false">IF($A1550="","",IF($B1550&lt;PlanDate,"Late",""))</f>
        <v/>
      </c>
    </row>
    <row r="1551" customFormat="false" ht="15" hidden="false" customHeight="false" outlineLevel="0" collapsed="false">
      <c r="A1551" s="11"/>
      <c r="B1551" s="6"/>
      <c r="C1551" s="11"/>
      <c r="D1551" s="11"/>
      <c r="E1551" s="8" t="str">
        <f aca="false">IF($A1551="","",IF($B1551&lt;PlanDate,"Late",""))</f>
        <v/>
      </c>
    </row>
    <row r="1552" customFormat="false" ht="15" hidden="false" customHeight="false" outlineLevel="0" collapsed="false">
      <c r="A1552" s="11"/>
      <c r="B1552" s="6"/>
      <c r="C1552" s="11"/>
      <c r="D1552" s="11"/>
      <c r="E1552" s="8" t="str">
        <f aca="false">IF($A1552="","",IF($B1552&lt;PlanDate,"Late",""))</f>
        <v/>
      </c>
    </row>
    <row r="1553" customFormat="false" ht="15" hidden="false" customHeight="false" outlineLevel="0" collapsed="false">
      <c r="A1553" s="11"/>
      <c r="B1553" s="6"/>
      <c r="C1553" s="11"/>
      <c r="D1553" s="11"/>
      <c r="E1553" s="8" t="str">
        <f aca="false">IF($A1553="","",IF($B1553&lt;PlanDate,"Late",""))</f>
        <v/>
      </c>
    </row>
    <row r="1554" customFormat="false" ht="15" hidden="false" customHeight="false" outlineLevel="0" collapsed="false">
      <c r="A1554" s="11"/>
      <c r="B1554" s="6"/>
      <c r="C1554" s="11"/>
      <c r="D1554" s="11"/>
      <c r="E1554" s="8" t="str">
        <f aca="false">IF($A1554="","",IF($B1554&lt;PlanDate,"Late",""))</f>
        <v/>
      </c>
    </row>
    <row r="1555" customFormat="false" ht="15" hidden="false" customHeight="false" outlineLevel="0" collapsed="false">
      <c r="A1555" s="11"/>
      <c r="B1555" s="6"/>
      <c r="C1555" s="11"/>
      <c r="D1555" s="11"/>
      <c r="E1555" s="8" t="str">
        <f aca="false">IF($A1555="","",IF($B1555&lt;PlanDate,"Late",""))</f>
        <v/>
      </c>
    </row>
    <row r="1556" customFormat="false" ht="15" hidden="false" customHeight="false" outlineLevel="0" collapsed="false">
      <c r="A1556" s="11"/>
      <c r="B1556" s="6"/>
      <c r="C1556" s="11"/>
      <c r="D1556" s="11"/>
      <c r="E1556" s="8" t="str">
        <f aca="false">IF($A1556="","",IF($B1556&lt;PlanDate,"Late",""))</f>
        <v/>
      </c>
    </row>
    <row r="1557" customFormat="false" ht="15" hidden="false" customHeight="false" outlineLevel="0" collapsed="false">
      <c r="A1557" s="11"/>
      <c r="B1557" s="6"/>
      <c r="C1557" s="11"/>
      <c r="D1557" s="11"/>
      <c r="E1557" s="8" t="str">
        <f aca="false">IF($A1557="","",IF($B1557&lt;PlanDate,"Late",""))</f>
        <v/>
      </c>
    </row>
    <row r="1558" customFormat="false" ht="15" hidden="false" customHeight="false" outlineLevel="0" collapsed="false">
      <c r="A1558" s="11"/>
      <c r="B1558" s="6"/>
      <c r="C1558" s="11"/>
      <c r="D1558" s="11"/>
      <c r="E1558" s="8" t="str">
        <f aca="false">IF($A1558="","",IF($B1558&lt;PlanDate,"Late",""))</f>
        <v/>
      </c>
    </row>
    <row r="1559" customFormat="false" ht="15" hidden="false" customHeight="false" outlineLevel="0" collapsed="false">
      <c r="A1559" s="11"/>
      <c r="B1559" s="6"/>
      <c r="C1559" s="11"/>
      <c r="D1559" s="11"/>
      <c r="E1559" s="8" t="str">
        <f aca="false">IF($A1559="","",IF($B1559&lt;PlanDate,"Late",""))</f>
        <v/>
      </c>
    </row>
    <row r="1560" customFormat="false" ht="15" hidden="false" customHeight="false" outlineLevel="0" collapsed="false">
      <c r="A1560" s="11"/>
      <c r="B1560" s="6"/>
      <c r="C1560" s="11"/>
      <c r="D1560" s="11"/>
      <c r="E1560" s="8" t="str">
        <f aca="false">IF($A1560="","",IF($B1560&lt;PlanDate,"Late",""))</f>
        <v/>
      </c>
    </row>
    <row r="1561" customFormat="false" ht="15" hidden="false" customHeight="false" outlineLevel="0" collapsed="false">
      <c r="A1561" s="11"/>
      <c r="B1561" s="6"/>
      <c r="C1561" s="11"/>
      <c r="D1561" s="11"/>
      <c r="E1561" s="8" t="str">
        <f aca="false">IF($A1561="","",IF($B1561&lt;PlanDate,"Late",""))</f>
        <v/>
      </c>
    </row>
    <row r="1562" customFormat="false" ht="15" hidden="false" customHeight="false" outlineLevel="0" collapsed="false">
      <c r="A1562" s="11"/>
      <c r="B1562" s="6"/>
      <c r="C1562" s="11"/>
      <c r="D1562" s="11"/>
      <c r="E1562" s="8" t="str">
        <f aca="false">IF($A1562="","",IF($B1562&lt;PlanDate,"Late",""))</f>
        <v/>
      </c>
    </row>
    <row r="1563" customFormat="false" ht="15" hidden="false" customHeight="false" outlineLevel="0" collapsed="false">
      <c r="A1563" s="11"/>
      <c r="B1563" s="6"/>
      <c r="C1563" s="11"/>
      <c r="D1563" s="11"/>
      <c r="E1563" s="8" t="str">
        <f aca="false">IF($A1563="","",IF($B1563&lt;PlanDate,"Late",""))</f>
        <v/>
      </c>
    </row>
    <row r="1564" customFormat="false" ht="15" hidden="false" customHeight="false" outlineLevel="0" collapsed="false">
      <c r="A1564" s="11"/>
      <c r="B1564" s="6"/>
      <c r="C1564" s="11"/>
      <c r="D1564" s="11"/>
      <c r="E1564" s="8" t="str">
        <f aca="false">IF($A1564="","",IF($B1564&lt;PlanDate,"Late",""))</f>
        <v/>
      </c>
    </row>
    <row r="1565" customFormat="false" ht="15" hidden="false" customHeight="false" outlineLevel="0" collapsed="false">
      <c r="A1565" s="11"/>
      <c r="B1565" s="6"/>
      <c r="C1565" s="11"/>
      <c r="D1565" s="11"/>
      <c r="E1565" s="8" t="str">
        <f aca="false">IF($A1565="","",IF($B1565&lt;PlanDate,"Late",""))</f>
        <v/>
      </c>
    </row>
    <row r="1566" customFormat="false" ht="15" hidden="false" customHeight="false" outlineLevel="0" collapsed="false">
      <c r="A1566" s="11"/>
      <c r="B1566" s="6"/>
      <c r="C1566" s="11"/>
      <c r="D1566" s="11"/>
      <c r="E1566" s="8" t="str">
        <f aca="false">IF($A1566="","",IF($B1566&lt;PlanDate,"Late",""))</f>
        <v/>
      </c>
    </row>
    <row r="1567" customFormat="false" ht="15" hidden="false" customHeight="false" outlineLevel="0" collapsed="false">
      <c r="A1567" s="11"/>
      <c r="B1567" s="6"/>
      <c r="C1567" s="11"/>
      <c r="D1567" s="11"/>
      <c r="E1567" s="8" t="str">
        <f aca="false">IF($A1567="","",IF($B1567&lt;PlanDate,"Late",""))</f>
        <v/>
      </c>
    </row>
    <row r="1568" customFormat="false" ht="15" hidden="false" customHeight="false" outlineLevel="0" collapsed="false">
      <c r="A1568" s="11"/>
      <c r="B1568" s="6"/>
      <c r="C1568" s="11"/>
      <c r="D1568" s="11"/>
      <c r="E1568" s="8" t="str">
        <f aca="false">IF($A1568="","",IF($B1568&lt;PlanDate,"Late",""))</f>
        <v/>
      </c>
    </row>
    <row r="1569" customFormat="false" ht="15" hidden="false" customHeight="false" outlineLevel="0" collapsed="false">
      <c r="A1569" s="11"/>
      <c r="B1569" s="6"/>
      <c r="C1569" s="11"/>
      <c r="D1569" s="11"/>
      <c r="E1569" s="8" t="str">
        <f aca="false">IF($A1569="","",IF($B1569&lt;PlanDate,"Late",""))</f>
        <v/>
      </c>
    </row>
    <row r="1570" customFormat="false" ht="15" hidden="false" customHeight="false" outlineLevel="0" collapsed="false">
      <c r="A1570" s="11"/>
      <c r="B1570" s="6"/>
      <c r="C1570" s="11"/>
      <c r="D1570" s="11"/>
      <c r="E1570" s="8" t="str">
        <f aca="false">IF($A1570="","",IF($B1570&lt;PlanDate,"Late",""))</f>
        <v/>
      </c>
    </row>
    <row r="1571" customFormat="false" ht="15" hidden="false" customHeight="false" outlineLevel="0" collapsed="false">
      <c r="A1571" s="11"/>
      <c r="B1571" s="6"/>
      <c r="C1571" s="11"/>
      <c r="D1571" s="11"/>
      <c r="E1571" s="8" t="str">
        <f aca="false">IF($A1571="","",IF($B1571&lt;PlanDate,"Late",""))</f>
        <v/>
      </c>
    </row>
    <row r="1572" customFormat="false" ht="15" hidden="false" customHeight="false" outlineLevel="0" collapsed="false">
      <c r="A1572" s="11"/>
      <c r="B1572" s="6"/>
      <c r="C1572" s="11"/>
      <c r="D1572" s="11"/>
      <c r="E1572" s="8" t="str">
        <f aca="false">IF($A1572="","",IF($B1572&lt;PlanDate,"Late",""))</f>
        <v/>
      </c>
    </row>
    <row r="1573" customFormat="false" ht="15" hidden="false" customHeight="false" outlineLevel="0" collapsed="false">
      <c r="A1573" s="11"/>
      <c r="B1573" s="6"/>
      <c r="C1573" s="11"/>
      <c r="D1573" s="11"/>
      <c r="E1573" s="8" t="str">
        <f aca="false">IF($A1573="","",IF($B1573&lt;PlanDate,"Late",""))</f>
        <v/>
      </c>
    </row>
    <row r="1574" customFormat="false" ht="15" hidden="false" customHeight="false" outlineLevel="0" collapsed="false">
      <c r="A1574" s="11"/>
      <c r="B1574" s="6"/>
      <c r="C1574" s="11"/>
      <c r="D1574" s="11"/>
      <c r="E1574" s="8" t="str">
        <f aca="false">IF($A1574="","",IF($B1574&lt;PlanDate,"Late",""))</f>
        <v/>
      </c>
    </row>
    <row r="1575" customFormat="false" ht="15" hidden="false" customHeight="false" outlineLevel="0" collapsed="false">
      <c r="A1575" s="11"/>
      <c r="B1575" s="6"/>
      <c r="C1575" s="11"/>
      <c r="D1575" s="11"/>
      <c r="E1575" s="8" t="str">
        <f aca="false">IF($A1575="","",IF($B1575&lt;PlanDate,"Late",""))</f>
        <v/>
      </c>
    </row>
    <row r="1576" customFormat="false" ht="15" hidden="false" customHeight="false" outlineLevel="0" collapsed="false">
      <c r="A1576" s="11"/>
      <c r="B1576" s="6"/>
      <c r="C1576" s="11"/>
      <c r="D1576" s="11"/>
      <c r="E1576" s="8" t="str">
        <f aca="false">IF($A1576="","",IF($B1576&lt;PlanDate,"Late",""))</f>
        <v/>
      </c>
    </row>
    <row r="1577" customFormat="false" ht="15" hidden="false" customHeight="false" outlineLevel="0" collapsed="false">
      <c r="A1577" s="11"/>
      <c r="B1577" s="6"/>
      <c r="C1577" s="11"/>
      <c r="D1577" s="11"/>
      <c r="E1577" s="8" t="str">
        <f aca="false">IF($A1577="","",IF($B1577&lt;PlanDate,"Late",""))</f>
        <v/>
      </c>
    </row>
    <row r="1578" customFormat="false" ht="15" hidden="false" customHeight="false" outlineLevel="0" collapsed="false">
      <c r="A1578" s="11"/>
      <c r="B1578" s="6"/>
      <c r="C1578" s="11"/>
      <c r="D1578" s="11"/>
      <c r="E1578" s="8" t="str">
        <f aca="false">IF($A1578="","",IF($B1578&lt;PlanDate,"Late",""))</f>
        <v/>
      </c>
    </row>
    <row r="1579" customFormat="false" ht="15" hidden="false" customHeight="false" outlineLevel="0" collapsed="false">
      <c r="A1579" s="11"/>
      <c r="B1579" s="6"/>
      <c r="C1579" s="11"/>
      <c r="D1579" s="11"/>
      <c r="E1579" s="8" t="str">
        <f aca="false">IF($A1579="","",IF($B1579&lt;PlanDate,"Late",""))</f>
        <v/>
      </c>
    </row>
    <row r="1580" customFormat="false" ht="15" hidden="false" customHeight="false" outlineLevel="0" collapsed="false">
      <c r="A1580" s="11"/>
      <c r="B1580" s="6"/>
      <c r="C1580" s="11"/>
      <c r="D1580" s="11"/>
      <c r="E1580" s="8" t="str">
        <f aca="false">IF($A1580="","",IF($B1580&lt;PlanDate,"Late",""))</f>
        <v/>
      </c>
    </row>
    <row r="1581" customFormat="false" ht="15" hidden="false" customHeight="false" outlineLevel="0" collapsed="false">
      <c r="A1581" s="11"/>
      <c r="B1581" s="6"/>
      <c r="C1581" s="11"/>
      <c r="D1581" s="11"/>
      <c r="E1581" s="8" t="str">
        <f aca="false">IF($A1581="","",IF($B1581&lt;PlanDate,"Late",""))</f>
        <v/>
      </c>
    </row>
    <row r="1582" customFormat="false" ht="15" hidden="false" customHeight="false" outlineLevel="0" collapsed="false">
      <c r="A1582" s="11"/>
      <c r="B1582" s="6"/>
      <c r="C1582" s="11"/>
      <c r="D1582" s="11"/>
      <c r="E1582" s="8" t="str">
        <f aca="false">IF($A1582="","",IF($B1582&lt;PlanDate,"Late",""))</f>
        <v/>
      </c>
    </row>
    <row r="1583" customFormat="false" ht="15" hidden="false" customHeight="false" outlineLevel="0" collapsed="false">
      <c r="A1583" s="11"/>
      <c r="B1583" s="6"/>
      <c r="C1583" s="11"/>
      <c r="D1583" s="11"/>
      <c r="E1583" s="8" t="str">
        <f aca="false">IF($A1583="","",IF($B1583&lt;PlanDate,"Late",""))</f>
        <v/>
      </c>
    </row>
    <row r="1584" customFormat="false" ht="15" hidden="false" customHeight="false" outlineLevel="0" collapsed="false">
      <c r="A1584" s="11"/>
      <c r="B1584" s="6"/>
      <c r="C1584" s="11"/>
      <c r="D1584" s="11"/>
      <c r="E1584" s="8" t="str">
        <f aca="false">IF($A1584="","",IF($B1584&lt;PlanDate,"Late",""))</f>
        <v/>
      </c>
    </row>
    <row r="1585" customFormat="false" ht="15" hidden="false" customHeight="false" outlineLevel="0" collapsed="false">
      <c r="A1585" s="11"/>
      <c r="B1585" s="6"/>
      <c r="C1585" s="11"/>
      <c r="D1585" s="11"/>
      <c r="E1585" s="8" t="str">
        <f aca="false">IF($A1585="","",IF($B1585&lt;PlanDate,"Late",""))</f>
        <v/>
      </c>
    </row>
    <row r="1586" customFormat="false" ht="15" hidden="false" customHeight="false" outlineLevel="0" collapsed="false">
      <c r="A1586" s="11"/>
      <c r="B1586" s="6"/>
      <c r="C1586" s="11"/>
      <c r="D1586" s="11"/>
      <c r="E1586" s="8" t="str">
        <f aca="false">IF($A1586="","",IF($B1586&lt;PlanDate,"Late",""))</f>
        <v/>
      </c>
    </row>
    <row r="1587" customFormat="false" ht="15" hidden="false" customHeight="false" outlineLevel="0" collapsed="false">
      <c r="A1587" s="11"/>
      <c r="B1587" s="6"/>
      <c r="C1587" s="11"/>
      <c r="D1587" s="11"/>
      <c r="E1587" s="8" t="str">
        <f aca="false">IF($A1587="","",IF($B1587&lt;PlanDate,"Late",""))</f>
        <v/>
      </c>
    </row>
    <row r="1588" customFormat="false" ht="15" hidden="false" customHeight="false" outlineLevel="0" collapsed="false">
      <c r="A1588" s="11"/>
      <c r="B1588" s="6"/>
      <c r="C1588" s="11"/>
      <c r="D1588" s="11"/>
      <c r="E1588" s="8" t="str">
        <f aca="false">IF($A1588="","",IF($B1588&lt;PlanDate,"Late",""))</f>
        <v/>
      </c>
    </row>
    <row r="1589" customFormat="false" ht="15" hidden="false" customHeight="false" outlineLevel="0" collapsed="false">
      <c r="A1589" s="11"/>
      <c r="B1589" s="6"/>
      <c r="C1589" s="11"/>
      <c r="D1589" s="11"/>
      <c r="E1589" s="8" t="str">
        <f aca="false">IF($A1589="","",IF($B1589&lt;PlanDate,"Late",""))</f>
        <v/>
      </c>
    </row>
    <row r="1590" customFormat="false" ht="15" hidden="false" customHeight="false" outlineLevel="0" collapsed="false">
      <c r="A1590" s="11"/>
      <c r="B1590" s="6"/>
      <c r="C1590" s="11"/>
      <c r="D1590" s="11"/>
      <c r="E1590" s="8" t="str">
        <f aca="false">IF($A1590="","",IF($B1590&lt;PlanDate,"Late",""))</f>
        <v/>
      </c>
    </row>
    <row r="1591" customFormat="false" ht="15" hidden="false" customHeight="false" outlineLevel="0" collapsed="false">
      <c r="A1591" s="11"/>
      <c r="B1591" s="6"/>
      <c r="C1591" s="11"/>
      <c r="D1591" s="11"/>
      <c r="E1591" s="8" t="str">
        <f aca="false">IF($A1591="","",IF($B1591&lt;PlanDate,"Late",""))</f>
        <v/>
      </c>
    </row>
    <row r="1592" customFormat="false" ht="15" hidden="false" customHeight="false" outlineLevel="0" collapsed="false">
      <c r="A1592" s="11"/>
      <c r="B1592" s="6"/>
      <c r="C1592" s="11"/>
      <c r="D1592" s="11"/>
      <c r="E1592" s="8" t="str">
        <f aca="false">IF($A1592="","",IF($B1592&lt;PlanDate,"Late",""))</f>
        <v/>
      </c>
    </row>
    <row r="1593" customFormat="false" ht="15" hidden="false" customHeight="false" outlineLevel="0" collapsed="false">
      <c r="A1593" s="11"/>
      <c r="B1593" s="6"/>
      <c r="C1593" s="11"/>
      <c r="D1593" s="11"/>
      <c r="E1593" s="8" t="str">
        <f aca="false">IF($A1593="","",IF($B1593&lt;PlanDate,"Late",""))</f>
        <v/>
      </c>
    </row>
    <row r="1594" customFormat="false" ht="15" hidden="false" customHeight="false" outlineLevel="0" collapsed="false">
      <c r="A1594" s="11"/>
      <c r="B1594" s="6"/>
      <c r="C1594" s="11"/>
      <c r="D1594" s="11"/>
      <c r="E1594" s="8" t="str">
        <f aca="false">IF($A1594="","",IF($B1594&lt;PlanDate,"Late",""))</f>
        <v/>
      </c>
    </row>
    <row r="1595" customFormat="false" ht="15" hidden="false" customHeight="false" outlineLevel="0" collapsed="false">
      <c r="A1595" s="11"/>
      <c r="B1595" s="6"/>
      <c r="C1595" s="11"/>
      <c r="D1595" s="11"/>
      <c r="E1595" s="8" t="str">
        <f aca="false">IF($A1595="","",IF($B1595&lt;PlanDate,"Late",""))</f>
        <v/>
      </c>
    </row>
    <row r="1596" customFormat="false" ht="15" hidden="false" customHeight="false" outlineLevel="0" collapsed="false">
      <c r="A1596" s="11"/>
      <c r="B1596" s="6"/>
      <c r="C1596" s="11"/>
      <c r="D1596" s="11"/>
      <c r="E1596" s="8" t="str">
        <f aca="false">IF($A1596="","",IF($B1596&lt;PlanDate,"Late",""))</f>
        <v/>
      </c>
    </row>
    <row r="1597" customFormat="false" ht="15" hidden="false" customHeight="false" outlineLevel="0" collapsed="false">
      <c r="A1597" s="11"/>
      <c r="B1597" s="6"/>
      <c r="C1597" s="11"/>
      <c r="D1597" s="11"/>
      <c r="E1597" s="8" t="str">
        <f aca="false">IF($A1597="","",IF($B1597&lt;PlanDate,"Late",""))</f>
        <v/>
      </c>
    </row>
    <row r="1598" customFormat="false" ht="15" hidden="false" customHeight="false" outlineLevel="0" collapsed="false">
      <c r="A1598" s="11"/>
      <c r="B1598" s="6"/>
      <c r="C1598" s="11"/>
      <c r="D1598" s="11"/>
      <c r="E1598" s="8" t="str">
        <f aca="false">IF($A1598="","",IF($B1598&lt;PlanDate,"Late",""))</f>
        <v/>
      </c>
    </row>
    <row r="1599" customFormat="false" ht="15" hidden="false" customHeight="false" outlineLevel="0" collapsed="false">
      <c r="A1599" s="11"/>
      <c r="B1599" s="6"/>
      <c r="C1599" s="11"/>
      <c r="D1599" s="11"/>
      <c r="E1599" s="8" t="str">
        <f aca="false">IF($A1599="","",IF($B1599&lt;PlanDate,"Late",""))</f>
        <v/>
      </c>
    </row>
    <row r="1600" customFormat="false" ht="15" hidden="false" customHeight="false" outlineLevel="0" collapsed="false">
      <c r="A1600" s="11"/>
      <c r="B1600" s="6"/>
      <c r="C1600" s="11"/>
      <c r="D1600" s="11"/>
      <c r="E1600" s="8" t="str">
        <f aca="false">IF($A1600="","",IF($B1600&lt;PlanDate,"Late",""))</f>
        <v/>
      </c>
    </row>
    <row r="1601" customFormat="false" ht="15" hidden="false" customHeight="false" outlineLevel="0" collapsed="false">
      <c r="A1601" s="11"/>
      <c r="B1601" s="6"/>
      <c r="C1601" s="11"/>
      <c r="D1601" s="11"/>
      <c r="E1601" s="8" t="str">
        <f aca="false">IF($A1601="","",IF($B1601&lt;PlanDate,"Late",""))</f>
        <v/>
      </c>
    </row>
    <row r="1602" customFormat="false" ht="15" hidden="false" customHeight="false" outlineLevel="0" collapsed="false">
      <c r="A1602" s="11"/>
      <c r="B1602" s="6"/>
      <c r="C1602" s="11"/>
      <c r="D1602" s="11"/>
      <c r="E1602" s="8" t="str">
        <f aca="false">IF($A1602="","",IF($B1602&lt;PlanDate,"Late",""))</f>
        <v/>
      </c>
    </row>
    <row r="1603" customFormat="false" ht="15" hidden="false" customHeight="false" outlineLevel="0" collapsed="false">
      <c r="A1603" s="11"/>
      <c r="B1603" s="6"/>
      <c r="C1603" s="11"/>
      <c r="D1603" s="11"/>
      <c r="E1603" s="8" t="str">
        <f aca="false">IF($A1603="","",IF($B1603&lt;PlanDate,"Late",""))</f>
        <v/>
      </c>
    </row>
    <row r="1604" customFormat="false" ht="15" hidden="false" customHeight="false" outlineLevel="0" collapsed="false">
      <c r="A1604" s="11"/>
      <c r="B1604" s="6"/>
      <c r="C1604" s="11"/>
      <c r="D1604" s="11"/>
      <c r="E1604" s="8" t="str">
        <f aca="false">IF($A1604="","",IF($B1604&lt;PlanDate,"Late",""))</f>
        <v/>
      </c>
    </row>
    <row r="1605" customFormat="false" ht="15" hidden="false" customHeight="false" outlineLevel="0" collapsed="false">
      <c r="A1605" s="11"/>
      <c r="B1605" s="6"/>
      <c r="C1605" s="11"/>
      <c r="D1605" s="11"/>
      <c r="E1605" s="8" t="str">
        <f aca="false">IF($A1605="","",IF($B1605&lt;PlanDate,"Late",""))</f>
        <v/>
      </c>
    </row>
    <row r="1606" customFormat="false" ht="15" hidden="false" customHeight="false" outlineLevel="0" collapsed="false">
      <c r="A1606" s="11"/>
      <c r="B1606" s="6"/>
      <c r="C1606" s="11"/>
      <c r="D1606" s="11"/>
      <c r="E1606" s="8" t="str">
        <f aca="false">IF($A1606="","",IF($B1606&lt;PlanDate,"Late",""))</f>
        <v/>
      </c>
    </row>
    <row r="1607" customFormat="false" ht="15" hidden="false" customHeight="false" outlineLevel="0" collapsed="false">
      <c r="A1607" s="11"/>
      <c r="B1607" s="6"/>
      <c r="C1607" s="11"/>
      <c r="D1607" s="11"/>
      <c r="E1607" s="8" t="str">
        <f aca="false">IF($A1607="","",IF($B1607&lt;PlanDate,"Late",""))</f>
        <v/>
      </c>
    </row>
    <row r="1608" customFormat="false" ht="15" hidden="false" customHeight="false" outlineLevel="0" collapsed="false">
      <c r="A1608" s="11"/>
      <c r="B1608" s="6"/>
      <c r="C1608" s="11"/>
      <c r="D1608" s="11"/>
      <c r="E1608" s="8" t="str">
        <f aca="false">IF($A1608="","",IF($B1608&lt;PlanDate,"Late",""))</f>
        <v/>
      </c>
    </row>
    <row r="1609" customFormat="false" ht="15" hidden="false" customHeight="false" outlineLevel="0" collapsed="false">
      <c r="A1609" s="11"/>
      <c r="B1609" s="6"/>
      <c r="C1609" s="11"/>
      <c r="D1609" s="11"/>
      <c r="E1609" s="8" t="str">
        <f aca="false">IF($A1609="","",IF($B1609&lt;PlanDate,"Late",""))</f>
        <v/>
      </c>
    </row>
    <row r="1610" customFormat="false" ht="15" hidden="false" customHeight="false" outlineLevel="0" collapsed="false">
      <c r="A1610" s="11"/>
      <c r="B1610" s="6"/>
      <c r="C1610" s="11"/>
      <c r="D1610" s="11"/>
      <c r="E1610" s="8" t="str">
        <f aca="false">IF($A1610="","",IF($B1610&lt;PlanDate,"Late",""))</f>
        <v/>
      </c>
    </row>
    <row r="1611" customFormat="false" ht="15" hidden="false" customHeight="false" outlineLevel="0" collapsed="false">
      <c r="A1611" s="11"/>
      <c r="B1611" s="6"/>
      <c r="C1611" s="11"/>
      <c r="D1611" s="11"/>
      <c r="E1611" s="8" t="str">
        <f aca="false">IF($A1611="","",IF($B1611&lt;PlanDate,"Late",""))</f>
        <v/>
      </c>
    </row>
    <row r="1612" customFormat="false" ht="15" hidden="false" customHeight="false" outlineLevel="0" collapsed="false">
      <c r="A1612" s="11"/>
      <c r="B1612" s="6"/>
      <c r="C1612" s="11"/>
      <c r="D1612" s="11"/>
      <c r="E1612" s="8" t="str">
        <f aca="false">IF($A1612="","",IF($B1612&lt;PlanDate,"Late",""))</f>
        <v/>
      </c>
    </row>
    <row r="1613" customFormat="false" ht="15" hidden="false" customHeight="false" outlineLevel="0" collapsed="false">
      <c r="A1613" s="11"/>
      <c r="B1613" s="6"/>
      <c r="C1613" s="11"/>
      <c r="D1613" s="11"/>
      <c r="E1613" s="8" t="str">
        <f aca="false">IF($A1613="","",IF($B1613&lt;PlanDate,"Late",""))</f>
        <v/>
      </c>
    </row>
    <row r="1614" customFormat="false" ht="15" hidden="false" customHeight="false" outlineLevel="0" collapsed="false">
      <c r="A1614" s="11"/>
      <c r="B1614" s="6"/>
      <c r="C1614" s="11"/>
      <c r="D1614" s="11"/>
      <c r="E1614" s="8" t="str">
        <f aca="false">IF($A1614="","",IF($B1614&lt;PlanDate,"Late",""))</f>
        <v/>
      </c>
    </row>
    <row r="1615" customFormat="false" ht="15" hidden="false" customHeight="false" outlineLevel="0" collapsed="false">
      <c r="A1615" s="11"/>
      <c r="B1615" s="6"/>
      <c r="C1615" s="11"/>
      <c r="D1615" s="11"/>
      <c r="E1615" s="8" t="str">
        <f aca="false">IF($A1615="","",IF($B1615&lt;PlanDate,"Late",""))</f>
        <v/>
      </c>
    </row>
    <row r="1616" customFormat="false" ht="15" hidden="false" customHeight="false" outlineLevel="0" collapsed="false">
      <c r="A1616" s="11"/>
      <c r="B1616" s="6"/>
      <c r="C1616" s="11"/>
      <c r="D1616" s="11"/>
      <c r="E1616" s="8" t="str">
        <f aca="false">IF($A1616="","",IF($B1616&lt;PlanDate,"Late",""))</f>
        <v/>
      </c>
    </row>
    <row r="1617" customFormat="false" ht="15" hidden="false" customHeight="false" outlineLevel="0" collapsed="false">
      <c r="A1617" s="11"/>
      <c r="B1617" s="6"/>
      <c r="C1617" s="11"/>
      <c r="D1617" s="11"/>
      <c r="E1617" s="8" t="str">
        <f aca="false">IF($A1617="","",IF($B1617&lt;PlanDate,"Late",""))</f>
        <v/>
      </c>
    </row>
    <row r="1618" customFormat="false" ht="15" hidden="false" customHeight="false" outlineLevel="0" collapsed="false">
      <c r="A1618" s="11"/>
      <c r="B1618" s="6"/>
      <c r="C1618" s="11"/>
      <c r="D1618" s="11"/>
      <c r="E1618" s="8" t="str">
        <f aca="false">IF($A1618="","",IF($B1618&lt;PlanDate,"Late",""))</f>
        <v/>
      </c>
    </row>
    <row r="1619" customFormat="false" ht="15" hidden="false" customHeight="false" outlineLevel="0" collapsed="false">
      <c r="A1619" s="11"/>
      <c r="B1619" s="6"/>
      <c r="C1619" s="11"/>
      <c r="D1619" s="11"/>
      <c r="E1619" s="8" t="str">
        <f aca="false">IF($A1619="","",IF($B1619&lt;PlanDate,"Late",""))</f>
        <v/>
      </c>
    </row>
    <row r="1620" customFormat="false" ht="15" hidden="false" customHeight="false" outlineLevel="0" collapsed="false">
      <c r="A1620" s="11"/>
      <c r="B1620" s="6"/>
      <c r="C1620" s="11"/>
      <c r="D1620" s="11"/>
      <c r="E1620" s="8" t="str">
        <f aca="false">IF($A1620="","",IF($B1620&lt;PlanDate,"Late",""))</f>
        <v/>
      </c>
    </row>
    <row r="1621" customFormat="false" ht="15" hidden="false" customHeight="false" outlineLevel="0" collapsed="false">
      <c r="A1621" s="11"/>
      <c r="B1621" s="6"/>
      <c r="C1621" s="11"/>
      <c r="D1621" s="11"/>
      <c r="E1621" s="8" t="str">
        <f aca="false">IF($A1621="","",IF($B1621&lt;PlanDate,"Late",""))</f>
        <v/>
      </c>
    </row>
    <row r="1622" customFormat="false" ht="15" hidden="false" customHeight="false" outlineLevel="0" collapsed="false">
      <c r="A1622" s="11"/>
      <c r="B1622" s="6"/>
      <c r="C1622" s="11"/>
      <c r="D1622" s="11"/>
      <c r="E1622" s="8" t="str">
        <f aca="false">IF($A1622="","",IF($B1622&lt;PlanDate,"Late",""))</f>
        <v/>
      </c>
    </row>
    <row r="1623" customFormat="false" ht="15" hidden="false" customHeight="false" outlineLevel="0" collapsed="false">
      <c r="A1623" s="11"/>
      <c r="B1623" s="6"/>
      <c r="C1623" s="11"/>
      <c r="D1623" s="11"/>
      <c r="E1623" s="8" t="str">
        <f aca="false">IF($A1623="","",IF($B1623&lt;PlanDate,"Late",""))</f>
        <v/>
      </c>
    </row>
    <row r="1624" customFormat="false" ht="15" hidden="false" customHeight="false" outlineLevel="0" collapsed="false">
      <c r="A1624" s="11"/>
      <c r="B1624" s="6"/>
      <c r="C1624" s="11"/>
      <c r="D1624" s="11"/>
      <c r="E1624" s="8" t="str">
        <f aca="false">IF($A1624="","",IF($B1624&lt;PlanDate,"Late",""))</f>
        <v/>
      </c>
    </row>
    <row r="1625" customFormat="false" ht="15" hidden="false" customHeight="false" outlineLevel="0" collapsed="false">
      <c r="A1625" s="11"/>
      <c r="B1625" s="6"/>
      <c r="C1625" s="11"/>
      <c r="D1625" s="11"/>
      <c r="E1625" s="8" t="str">
        <f aca="false">IF($A1625="","",IF($B1625&lt;PlanDate,"Late",""))</f>
        <v/>
      </c>
    </row>
    <row r="1626" customFormat="false" ht="15" hidden="false" customHeight="false" outlineLevel="0" collapsed="false">
      <c r="A1626" s="11"/>
      <c r="B1626" s="6"/>
      <c r="C1626" s="11"/>
      <c r="D1626" s="11"/>
      <c r="E1626" s="8" t="str">
        <f aca="false">IF($A1626="","",IF($B1626&lt;PlanDate,"Late",""))</f>
        <v/>
      </c>
    </row>
    <row r="1627" customFormat="false" ht="15" hidden="false" customHeight="false" outlineLevel="0" collapsed="false">
      <c r="A1627" s="11"/>
      <c r="B1627" s="6"/>
      <c r="C1627" s="11"/>
      <c r="D1627" s="11"/>
      <c r="E1627" s="8" t="str">
        <f aca="false">IF($A1627="","",IF($B1627&lt;PlanDate,"Late",""))</f>
        <v/>
      </c>
    </row>
    <row r="1628" customFormat="false" ht="15" hidden="false" customHeight="false" outlineLevel="0" collapsed="false">
      <c r="A1628" s="11"/>
      <c r="B1628" s="6"/>
      <c r="C1628" s="11"/>
      <c r="D1628" s="11"/>
      <c r="E1628" s="8" t="str">
        <f aca="false">IF($A1628="","",IF($B1628&lt;PlanDate,"Late",""))</f>
        <v/>
      </c>
    </row>
    <row r="1629" customFormat="false" ht="15" hidden="false" customHeight="false" outlineLevel="0" collapsed="false">
      <c r="A1629" s="11"/>
      <c r="B1629" s="6"/>
      <c r="C1629" s="11"/>
      <c r="D1629" s="11"/>
      <c r="E1629" s="8" t="str">
        <f aca="false">IF($A1629="","",IF($B1629&lt;PlanDate,"Late",""))</f>
        <v/>
      </c>
    </row>
    <row r="1630" customFormat="false" ht="15" hidden="false" customHeight="false" outlineLevel="0" collapsed="false">
      <c r="A1630" s="11"/>
      <c r="B1630" s="6"/>
      <c r="C1630" s="11"/>
      <c r="D1630" s="11"/>
      <c r="E1630" s="8" t="str">
        <f aca="false">IF($A1630="","",IF($B1630&lt;PlanDate,"Late",""))</f>
        <v/>
      </c>
    </row>
    <row r="1631" customFormat="false" ht="15" hidden="false" customHeight="false" outlineLevel="0" collapsed="false">
      <c r="A1631" s="11"/>
      <c r="B1631" s="6"/>
      <c r="C1631" s="11"/>
      <c r="D1631" s="11"/>
      <c r="E1631" s="8" t="str">
        <f aca="false">IF($A1631="","",IF($B1631&lt;PlanDate,"Late",""))</f>
        <v/>
      </c>
    </row>
    <row r="1632" customFormat="false" ht="15" hidden="false" customHeight="false" outlineLevel="0" collapsed="false">
      <c r="A1632" s="11"/>
      <c r="B1632" s="6"/>
      <c r="C1632" s="11"/>
      <c r="D1632" s="11"/>
      <c r="E1632" s="8" t="str">
        <f aca="false">IF($A1632="","",IF($B1632&lt;PlanDate,"Late",""))</f>
        <v/>
      </c>
    </row>
    <row r="1633" customFormat="false" ht="15" hidden="false" customHeight="false" outlineLevel="0" collapsed="false">
      <c r="A1633" s="11"/>
      <c r="B1633" s="6"/>
      <c r="C1633" s="11"/>
      <c r="D1633" s="11"/>
      <c r="E1633" s="8" t="str">
        <f aca="false">IF($A1633="","",IF($B1633&lt;PlanDate,"Late",""))</f>
        <v/>
      </c>
    </row>
    <row r="1634" customFormat="false" ht="15" hidden="false" customHeight="false" outlineLevel="0" collapsed="false">
      <c r="A1634" s="11"/>
      <c r="B1634" s="6"/>
      <c r="C1634" s="11"/>
      <c r="D1634" s="11"/>
      <c r="E1634" s="8" t="str">
        <f aca="false">IF($A1634="","",IF($B1634&lt;PlanDate,"Late",""))</f>
        <v/>
      </c>
    </row>
    <row r="1635" customFormat="false" ht="15" hidden="false" customHeight="false" outlineLevel="0" collapsed="false">
      <c r="A1635" s="11"/>
      <c r="B1635" s="6"/>
      <c r="C1635" s="11"/>
      <c r="D1635" s="11"/>
      <c r="E1635" s="8" t="str">
        <f aca="false">IF($A1635="","",IF($B1635&lt;PlanDate,"Late",""))</f>
        <v/>
      </c>
    </row>
    <row r="1636" customFormat="false" ht="15" hidden="false" customHeight="false" outlineLevel="0" collapsed="false">
      <c r="A1636" s="11"/>
      <c r="B1636" s="6"/>
      <c r="C1636" s="11"/>
      <c r="D1636" s="11"/>
      <c r="E1636" s="8" t="str">
        <f aca="false">IF($A1636="","",IF($B1636&lt;PlanDate,"Late",""))</f>
        <v/>
      </c>
    </row>
    <row r="1637" customFormat="false" ht="15" hidden="false" customHeight="false" outlineLevel="0" collapsed="false">
      <c r="A1637" s="11"/>
      <c r="B1637" s="6"/>
      <c r="C1637" s="11"/>
      <c r="D1637" s="11"/>
      <c r="E1637" s="8" t="str">
        <f aca="false">IF($A1637="","",IF($B1637&lt;PlanDate,"Late",""))</f>
        <v/>
      </c>
    </row>
    <row r="1638" customFormat="false" ht="15" hidden="false" customHeight="false" outlineLevel="0" collapsed="false">
      <c r="A1638" s="11"/>
      <c r="B1638" s="6"/>
      <c r="C1638" s="11"/>
      <c r="D1638" s="11"/>
      <c r="E1638" s="8" t="str">
        <f aca="false">IF($A1638="","",IF($B1638&lt;PlanDate,"Late",""))</f>
        <v/>
      </c>
    </row>
    <row r="1639" customFormat="false" ht="15" hidden="false" customHeight="false" outlineLevel="0" collapsed="false">
      <c r="A1639" s="11"/>
      <c r="B1639" s="6"/>
      <c r="C1639" s="11"/>
      <c r="D1639" s="11"/>
      <c r="E1639" s="8" t="str">
        <f aca="false">IF($A1639="","",IF($B1639&lt;PlanDate,"Late",""))</f>
        <v/>
      </c>
    </row>
    <row r="1640" customFormat="false" ht="15" hidden="false" customHeight="false" outlineLevel="0" collapsed="false">
      <c r="A1640" s="11"/>
      <c r="B1640" s="6"/>
      <c r="C1640" s="11"/>
      <c r="D1640" s="11"/>
      <c r="E1640" s="8" t="str">
        <f aca="false">IF($A1640="","",IF($B1640&lt;PlanDate,"Late",""))</f>
        <v/>
      </c>
    </row>
    <row r="1641" customFormat="false" ht="15" hidden="false" customHeight="false" outlineLevel="0" collapsed="false">
      <c r="A1641" s="11"/>
      <c r="B1641" s="6"/>
      <c r="C1641" s="11"/>
      <c r="D1641" s="11"/>
      <c r="E1641" s="8" t="str">
        <f aca="false">IF($A1641="","",IF($B1641&lt;PlanDate,"Late",""))</f>
        <v/>
      </c>
    </row>
    <row r="1642" customFormat="false" ht="15" hidden="false" customHeight="false" outlineLevel="0" collapsed="false">
      <c r="A1642" s="11"/>
      <c r="B1642" s="6"/>
      <c r="C1642" s="11"/>
      <c r="D1642" s="11"/>
      <c r="E1642" s="8" t="str">
        <f aca="false">IF($A1642="","",IF($B1642&lt;PlanDate,"Late",""))</f>
        <v/>
      </c>
    </row>
    <row r="1643" customFormat="false" ht="15" hidden="false" customHeight="false" outlineLevel="0" collapsed="false">
      <c r="A1643" s="11"/>
      <c r="B1643" s="6"/>
      <c r="C1643" s="11"/>
      <c r="D1643" s="11"/>
      <c r="E1643" s="8" t="str">
        <f aca="false">IF($A1643="","",IF($B1643&lt;PlanDate,"Late",""))</f>
        <v/>
      </c>
    </row>
    <row r="1644" customFormat="false" ht="15" hidden="false" customHeight="false" outlineLevel="0" collapsed="false">
      <c r="A1644" s="11"/>
      <c r="B1644" s="6"/>
      <c r="C1644" s="11"/>
      <c r="D1644" s="11"/>
      <c r="E1644" s="8" t="str">
        <f aca="false">IF($A1644="","",IF($B1644&lt;PlanDate,"Late",""))</f>
        <v/>
      </c>
    </row>
    <row r="1645" customFormat="false" ht="15" hidden="false" customHeight="false" outlineLevel="0" collapsed="false">
      <c r="A1645" s="11"/>
      <c r="B1645" s="6"/>
      <c r="C1645" s="11"/>
      <c r="D1645" s="11"/>
      <c r="E1645" s="8" t="str">
        <f aca="false">IF($A1645="","",IF($B1645&lt;PlanDate,"Late",""))</f>
        <v/>
      </c>
    </row>
    <row r="1646" customFormat="false" ht="15" hidden="false" customHeight="false" outlineLevel="0" collapsed="false">
      <c r="A1646" s="11"/>
      <c r="B1646" s="6"/>
      <c r="C1646" s="11"/>
      <c r="D1646" s="11"/>
      <c r="E1646" s="8" t="str">
        <f aca="false">IF($A1646="","",IF($B1646&lt;PlanDate,"Late",""))</f>
        <v/>
      </c>
    </row>
    <row r="1647" customFormat="false" ht="15" hidden="false" customHeight="false" outlineLevel="0" collapsed="false">
      <c r="A1647" s="11"/>
      <c r="B1647" s="6"/>
      <c r="C1647" s="11"/>
      <c r="D1647" s="11"/>
      <c r="E1647" s="8" t="str">
        <f aca="false">IF($A1647="","",IF($B1647&lt;PlanDate,"Late",""))</f>
        <v/>
      </c>
    </row>
    <row r="1648" customFormat="false" ht="15" hidden="false" customHeight="false" outlineLevel="0" collapsed="false">
      <c r="A1648" s="11"/>
      <c r="B1648" s="6"/>
      <c r="C1648" s="11"/>
      <c r="D1648" s="11"/>
      <c r="E1648" s="8" t="str">
        <f aca="false">IF($A1648="","",IF($B1648&lt;PlanDate,"Late",""))</f>
        <v/>
      </c>
    </row>
    <row r="1649" customFormat="false" ht="15" hidden="false" customHeight="false" outlineLevel="0" collapsed="false">
      <c r="A1649" s="11"/>
      <c r="B1649" s="6"/>
      <c r="C1649" s="11"/>
      <c r="D1649" s="11"/>
      <c r="E1649" s="8" t="str">
        <f aca="false">IF($A1649="","",IF($B1649&lt;PlanDate,"Late",""))</f>
        <v/>
      </c>
    </row>
    <row r="1650" customFormat="false" ht="15" hidden="false" customHeight="false" outlineLevel="0" collapsed="false">
      <c r="A1650" s="11"/>
      <c r="B1650" s="6"/>
      <c r="C1650" s="11"/>
      <c r="D1650" s="11"/>
      <c r="E1650" s="8" t="str">
        <f aca="false">IF($A1650="","",IF($B1650&lt;PlanDate,"Late",""))</f>
        <v/>
      </c>
    </row>
    <row r="1651" customFormat="false" ht="15" hidden="false" customHeight="false" outlineLevel="0" collapsed="false">
      <c r="A1651" s="11"/>
      <c r="B1651" s="6"/>
      <c r="C1651" s="11"/>
      <c r="D1651" s="11"/>
      <c r="E1651" s="8" t="str">
        <f aca="false">IF($A1651="","",IF($B1651&lt;PlanDate,"Late",""))</f>
        <v/>
      </c>
    </row>
    <row r="1652" customFormat="false" ht="15" hidden="false" customHeight="false" outlineLevel="0" collapsed="false">
      <c r="A1652" s="11"/>
      <c r="B1652" s="6"/>
      <c r="C1652" s="11"/>
      <c r="D1652" s="11"/>
      <c r="E1652" s="8" t="str">
        <f aca="false">IF($A1652="","",IF($B1652&lt;PlanDate,"Late",""))</f>
        <v/>
      </c>
    </row>
    <row r="1653" customFormat="false" ht="15" hidden="false" customHeight="false" outlineLevel="0" collapsed="false">
      <c r="A1653" s="11"/>
      <c r="B1653" s="6"/>
      <c r="C1653" s="11"/>
      <c r="D1653" s="11"/>
      <c r="E1653" s="8" t="str">
        <f aca="false">IF($A1653="","",IF($B1653&lt;PlanDate,"Late",""))</f>
        <v/>
      </c>
    </row>
    <row r="1654" customFormat="false" ht="15" hidden="false" customHeight="false" outlineLevel="0" collapsed="false">
      <c r="A1654" s="11"/>
      <c r="B1654" s="6"/>
      <c r="C1654" s="11"/>
      <c r="D1654" s="11"/>
      <c r="E1654" s="8" t="str">
        <f aca="false">IF($A1654="","",IF($B1654&lt;PlanDate,"Late",""))</f>
        <v/>
      </c>
    </row>
    <row r="1655" customFormat="false" ht="15" hidden="false" customHeight="false" outlineLevel="0" collapsed="false">
      <c r="A1655" s="11"/>
      <c r="B1655" s="6"/>
      <c r="C1655" s="11"/>
      <c r="D1655" s="11"/>
      <c r="E1655" s="8" t="str">
        <f aca="false">IF($A1655="","",IF($B1655&lt;PlanDate,"Late",""))</f>
        <v/>
      </c>
    </row>
    <row r="1656" customFormat="false" ht="15" hidden="false" customHeight="false" outlineLevel="0" collapsed="false">
      <c r="A1656" s="11"/>
      <c r="B1656" s="6"/>
      <c r="C1656" s="11"/>
      <c r="D1656" s="11"/>
      <c r="E1656" s="8" t="str">
        <f aca="false">IF($A1656="","",IF($B1656&lt;PlanDate,"Late",""))</f>
        <v/>
      </c>
    </row>
    <row r="1657" customFormat="false" ht="15" hidden="false" customHeight="false" outlineLevel="0" collapsed="false">
      <c r="A1657" s="11"/>
      <c r="B1657" s="6"/>
      <c r="C1657" s="11"/>
      <c r="D1657" s="11"/>
      <c r="E1657" s="8" t="str">
        <f aca="false">IF($A1657="","",IF($B1657&lt;PlanDate,"Late",""))</f>
        <v/>
      </c>
    </row>
    <row r="1658" customFormat="false" ht="15" hidden="false" customHeight="false" outlineLevel="0" collapsed="false">
      <c r="A1658" s="11"/>
      <c r="B1658" s="6"/>
      <c r="C1658" s="11"/>
      <c r="D1658" s="11"/>
      <c r="E1658" s="8" t="str">
        <f aca="false">IF($A1658="","",IF($B1658&lt;PlanDate,"Late",""))</f>
        <v/>
      </c>
    </row>
    <row r="1659" customFormat="false" ht="15" hidden="false" customHeight="false" outlineLevel="0" collapsed="false">
      <c r="A1659" s="11"/>
      <c r="B1659" s="6"/>
      <c r="C1659" s="11"/>
      <c r="D1659" s="11"/>
      <c r="E1659" s="8" t="str">
        <f aca="false">IF($A1659="","",IF($B1659&lt;PlanDate,"Late",""))</f>
        <v/>
      </c>
    </row>
    <row r="1660" customFormat="false" ht="15" hidden="false" customHeight="false" outlineLevel="0" collapsed="false">
      <c r="A1660" s="11"/>
      <c r="B1660" s="6"/>
      <c r="C1660" s="11"/>
      <c r="D1660" s="11"/>
      <c r="E1660" s="8" t="str">
        <f aca="false">IF($A1660="","",IF($B1660&lt;PlanDate,"Late",""))</f>
        <v/>
      </c>
    </row>
    <row r="1661" customFormat="false" ht="15" hidden="false" customHeight="false" outlineLevel="0" collapsed="false">
      <c r="A1661" s="11"/>
      <c r="B1661" s="6"/>
      <c r="C1661" s="11"/>
      <c r="D1661" s="11"/>
      <c r="E1661" s="8" t="str">
        <f aca="false">IF($A1661="","",IF($B1661&lt;PlanDate,"Late",""))</f>
        <v/>
      </c>
    </row>
    <row r="1662" customFormat="false" ht="15" hidden="false" customHeight="false" outlineLevel="0" collapsed="false">
      <c r="A1662" s="11"/>
      <c r="B1662" s="6"/>
      <c r="C1662" s="11"/>
      <c r="D1662" s="11"/>
      <c r="E1662" s="8" t="str">
        <f aca="false">IF($A1662="","",IF($B1662&lt;PlanDate,"Late",""))</f>
        <v/>
      </c>
    </row>
    <row r="1663" customFormat="false" ht="15" hidden="false" customHeight="false" outlineLevel="0" collapsed="false">
      <c r="A1663" s="11"/>
      <c r="B1663" s="6"/>
      <c r="C1663" s="11"/>
      <c r="D1663" s="11"/>
      <c r="E1663" s="8" t="str">
        <f aca="false">IF($A1663="","",IF($B1663&lt;PlanDate,"Late",""))</f>
        <v/>
      </c>
    </row>
    <row r="1664" customFormat="false" ht="15" hidden="false" customHeight="false" outlineLevel="0" collapsed="false">
      <c r="A1664" s="11"/>
      <c r="B1664" s="6"/>
      <c r="C1664" s="11"/>
      <c r="D1664" s="11"/>
      <c r="E1664" s="8" t="str">
        <f aca="false">IF($A1664="","",IF($B1664&lt;PlanDate,"Late",""))</f>
        <v/>
      </c>
    </row>
    <row r="1665" customFormat="false" ht="15" hidden="false" customHeight="false" outlineLevel="0" collapsed="false">
      <c r="A1665" s="11"/>
      <c r="B1665" s="6"/>
      <c r="C1665" s="11"/>
      <c r="D1665" s="11"/>
      <c r="E1665" s="8" t="str">
        <f aca="false">IF($A1665="","",IF($B1665&lt;PlanDate,"Late",""))</f>
        <v/>
      </c>
    </row>
    <row r="1666" customFormat="false" ht="15" hidden="false" customHeight="false" outlineLevel="0" collapsed="false">
      <c r="A1666" s="11"/>
      <c r="B1666" s="6"/>
      <c r="C1666" s="11"/>
      <c r="D1666" s="11"/>
      <c r="E1666" s="8" t="str">
        <f aca="false">IF($A1666="","",IF($B1666&lt;PlanDate,"Late",""))</f>
        <v/>
      </c>
    </row>
    <row r="1667" customFormat="false" ht="15" hidden="false" customHeight="false" outlineLevel="0" collapsed="false">
      <c r="A1667" s="11"/>
      <c r="B1667" s="6"/>
      <c r="C1667" s="11"/>
      <c r="D1667" s="11"/>
      <c r="E1667" s="8" t="str">
        <f aca="false">IF($A1667="","",IF($B1667&lt;PlanDate,"Late",""))</f>
        <v/>
      </c>
    </row>
    <row r="1668" customFormat="false" ht="15" hidden="false" customHeight="false" outlineLevel="0" collapsed="false">
      <c r="A1668" s="11"/>
      <c r="B1668" s="6"/>
      <c r="C1668" s="11"/>
      <c r="D1668" s="11"/>
      <c r="E1668" s="8" t="str">
        <f aca="false">IF($A1668="","",IF($B1668&lt;PlanDate,"Late",""))</f>
        <v/>
      </c>
    </row>
    <row r="1669" customFormat="false" ht="15" hidden="false" customHeight="false" outlineLevel="0" collapsed="false">
      <c r="A1669" s="11"/>
      <c r="B1669" s="6"/>
      <c r="C1669" s="11"/>
      <c r="D1669" s="11"/>
      <c r="E1669" s="8" t="str">
        <f aca="false">IF($A1669="","",IF($B1669&lt;PlanDate,"Late",""))</f>
        <v/>
      </c>
    </row>
    <row r="1670" customFormat="false" ht="15" hidden="false" customHeight="false" outlineLevel="0" collapsed="false">
      <c r="A1670" s="11"/>
      <c r="B1670" s="6"/>
      <c r="C1670" s="11"/>
      <c r="D1670" s="11"/>
      <c r="E1670" s="8" t="str">
        <f aca="false">IF($A1670="","",IF($B1670&lt;PlanDate,"Late",""))</f>
        <v/>
      </c>
    </row>
    <row r="1671" customFormat="false" ht="15" hidden="false" customHeight="false" outlineLevel="0" collapsed="false">
      <c r="A1671" s="11"/>
      <c r="B1671" s="6"/>
      <c r="C1671" s="11"/>
      <c r="D1671" s="11"/>
      <c r="E1671" s="8" t="str">
        <f aca="false">IF($A1671="","",IF($B1671&lt;PlanDate,"Late",""))</f>
        <v/>
      </c>
    </row>
    <row r="1672" customFormat="false" ht="15" hidden="false" customHeight="false" outlineLevel="0" collapsed="false">
      <c r="A1672" s="11"/>
      <c r="B1672" s="6"/>
      <c r="C1672" s="11"/>
      <c r="D1672" s="11"/>
      <c r="E1672" s="8" t="str">
        <f aca="false">IF($A1672="","",IF($B1672&lt;PlanDate,"Late",""))</f>
        <v/>
      </c>
    </row>
    <row r="1673" customFormat="false" ht="15" hidden="false" customHeight="false" outlineLevel="0" collapsed="false">
      <c r="A1673" s="11"/>
      <c r="B1673" s="6"/>
      <c r="C1673" s="11"/>
      <c r="D1673" s="11"/>
      <c r="E1673" s="8" t="str">
        <f aca="false">IF($A1673="","",IF($B1673&lt;PlanDate,"Late",""))</f>
        <v/>
      </c>
    </row>
    <row r="1674" customFormat="false" ht="15" hidden="false" customHeight="false" outlineLevel="0" collapsed="false">
      <c r="A1674" s="11"/>
      <c r="B1674" s="6"/>
      <c r="C1674" s="11"/>
      <c r="D1674" s="11"/>
      <c r="E1674" s="8" t="str">
        <f aca="false">IF($A1674="","",IF($B1674&lt;PlanDate,"Late",""))</f>
        <v/>
      </c>
    </row>
    <row r="1675" customFormat="false" ht="15" hidden="false" customHeight="false" outlineLevel="0" collapsed="false">
      <c r="A1675" s="11"/>
      <c r="B1675" s="6"/>
      <c r="C1675" s="11"/>
      <c r="D1675" s="11"/>
      <c r="E1675" s="8" t="str">
        <f aca="false">IF($A1675="","",IF($B1675&lt;PlanDate,"Late",""))</f>
        <v/>
      </c>
    </row>
    <row r="1676" customFormat="false" ht="15" hidden="false" customHeight="false" outlineLevel="0" collapsed="false">
      <c r="A1676" s="11"/>
      <c r="B1676" s="6"/>
      <c r="C1676" s="11"/>
      <c r="D1676" s="11"/>
      <c r="E1676" s="8" t="str">
        <f aca="false">IF($A1676="","",IF($B1676&lt;PlanDate,"Late",""))</f>
        <v/>
      </c>
    </row>
    <row r="1677" customFormat="false" ht="15" hidden="false" customHeight="false" outlineLevel="0" collapsed="false">
      <c r="A1677" s="11"/>
      <c r="B1677" s="6"/>
      <c r="C1677" s="11"/>
      <c r="D1677" s="11"/>
      <c r="E1677" s="8" t="str">
        <f aca="false">IF($A1677="","",IF($B1677&lt;PlanDate,"Late",""))</f>
        <v/>
      </c>
    </row>
    <row r="1678" customFormat="false" ht="15" hidden="false" customHeight="false" outlineLevel="0" collapsed="false">
      <c r="A1678" s="11"/>
      <c r="B1678" s="6"/>
      <c r="C1678" s="11"/>
      <c r="D1678" s="11"/>
      <c r="E1678" s="8" t="str">
        <f aca="false">IF($A1678="","",IF($B1678&lt;PlanDate,"Late",""))</f>
        <v/>
      </c>
    </row>
    <row r="1679" customFormat="false" ht="15" hidden="false" customHeight="false" outlineLevel="0" collapsed="false">
      <c r="A1679" s="11"/>
      <c r="B1679" s="6"/>
      <c r="C1679" s="11"/>
      <c r="D1679" s="11"/>
      <c r="E1679" s="8" t="str">
        <f aca="false">IF($A1679="","",IF($B1679&lt;PlanDate,"Late",""))</f>
        <v/>
      </c>
    </row>
    <row r="1680" customFormat="false" ht="15" hidden="false" customHeight="false" outlineLevel="0" collapsed="false">
      <c r="A1680" s="11"/>
      <c r="B1680" s="6"/>
      <c r="C1680" s="11"/>
      <c r="D1680" s="11"/>
      <c r="E1680" s="8" t="str">
        <f aca="false">IF($A1680="","",IF($B1680&lt;PlanDate,"Late",""))</f>
        <v/>
      </c>
    </row>
    <row r="1681" customFormat="false" ht="15" hidden="false" customHeight="false" outlineLevel="0" collapsed="false">
      <c r="A1681" s="11"/>
      <c r="B1681" s="6"/>
      <c r="C1681" s="11"/>
      <c r="D1681" s="11"/>
      <c r="E1681" s="8" t="str">
        <f aca="false">IF($A1681="","",IF($B1681&lt;PlanDate,"Late",""))</f>
        <v/>
      </c>
    </row>
    <row r="1682" customFormat="false" ht="15" hidden="false" customHeight="false" outlineLevel="0" collapsed="false">
      <c r="A1682" s="11"/>
      <c r="B1682" s="6"/>
      <c r="C1682" s="11"/>
      <c r="D1682" s="11"/>
      <c r="E1682" s="8" t="str">
        <f aca="false">IF($A1682="","",IF($B1682&lt;PlanDate,"Late",""))</f>
        <v/>
      </c>
    </row>
    <row r="1683" customFormat="false" ht="15" hidden="false" customHeight="false" outlineLevel="0" collapsed="false">
      <c r="A1683" s="11"/>
      <c r="B1683" s="6"/>
      <c r="C1683" s="11"/>
      <c r="D1683" s="11"/>
      <c r="E1683" s="8" t="str">
        <f aca="false">IF($A1683="","",IF($B1683&lt;PlanDate,"Late",""))</f>
        <v/>
      </c>
    </row>
    <row r="1684" customFormat="false" ht="15" hidden="false" customHeight="false" outlineLevel="0" collapsed="false">
      <c r="A1684" s="11"/>
      <c r="B1684" s="6"/>
      <c r="C1684" s="11"/>
      <c r="D1684" s="11"/>
      <c r="E1684" s="8" t="str">
        <f aca="false">IF($A1684="","",IF($B1684&lt;PlanDate,"Late",""))</f>
        <v/>
      </c>
    </row>
    <row r="1685" customFormat="false" ht="15" hidden="false" customHeight="false" outlineLevel="0" collapsed="false">
      <c r="A1685" s="11"/>
      <c r="B1685" s="6"/>
      <c r="C1685" s="11"/>
      <c r="D1685" s="11"/>
      <c r="E1685" s="8" t="str">
        <f aca="false">IF($A1685="","",IF($B1685&lt;PlanDate,"Late",""))</f>
        <v/>
      </c>
    </row>
    <row r="1686" customFormat="false" ht="15" hidden="false" customHeight="false" outlineLevel="0" collapsed="false">
      <c r="A1686" s="11"/>
      <c r="B1686" s="6"/>
      <c r="C1686" s="11"/>
      <c r="D1686" s="11"/>
      <c r="E1686" s="8" t="str">
        <f aca="false">IF($A1686="","",IF($B1686&lt;PlanDate,"Late",""))</f>
        <v/>
      </c>
    </row>
    <row r="1687" customFormat="false" ht="15" hidden="false" customHeight="false" outlineLevel="0" collapsed="false">
      <c r="A1687" s="11"/>
      <c r="B1687" s="6"/>
      <c r="C1687" s="11"/>
      <c r="D1687" s="11"/>
      <c r="E1687" s="8" t="str">
        <f aca="false">IF($A1687="","",IF($B1687&lt;PlanDate,"Late",""))</f>
        <v/>
      </c>
    </row>
    <row r="1688" customFormat="false" ht="15" hidden="false" customHeight="false" outlineLevel="0" collapsed="false">
      <c r="A1688" s="11"/>
      <c r="B1688" s="6"/>
      <c r="C1688" s="11"/>
      <c r="D1688" s="11"/>
      <c r="E1688" s="8" t="str">
        <f aca="false">IF($A1688="","",IF($B1688&lt;PlanDate,"Late",""))</f>
        <v/>
      </c>
    </row>
    <row r="1689" customFormat="false" ht="15" hidden="false" customHeight="false" outlineLevel="0" collapsed="false">
      <c r="A1689" s="11"/>
      <c r="B1689" s="6"/>
      <c r="C1689" s="11"/>
      <c r="D1689" s="11"/>
      <c r="E1689" s="8" t="str">
        <f aca="false">IF($A1689="","",IF($B1689&lt;PlanDate,"Late",""))</f>
        <v/>
      </c>
    </row>
    <row r="1690" customFormat="false" ht="15" hidden="false" customHeight="false" outlineLevel="0" collapsed="false">
      <c r="A1690" s="11"/>
      <c r="B1690" s="6"/>
      <c r="C1690" s="11"/>
      <c r="D1690" s="11"/>
      <c r="E1690" s="8" t="str">
        <f aca="false">IF($A1690="","",IF($B1690&lt;PlanDate,"Late",""))</f>
        <v/>
      </c>
    </row>
    <row r="1691" customFormat="false" ht="15" hidden="false" customHeight="false" outlineLevel="0" collapsed="false">
      <c r="A1691" s="11"/>
      <c r="B1691" s="6"/>
      <c r="C1691" s="11"/>
      <c r="D1691" s="11"/>
      <c r="E1691" s="8" t="str">
        <f aca="false">IF($A1691="","",IF($B1691&lt;PlanDate,"Late",""))</f>
        <v/>
      </c>
    </row>
    <row r="1692" customFormat="false" ht="15" hidden="false" customHeight="false" outlineLevel="0" collapsed="false">
      <c r="A1692" s="11"/>
      <c r="B1692" s="6"/>
      <c r="C1692" s="11"/>
      <c r="D1692" s="11"/>
      <c r="E1692" s="8" t="str">
        <f aca="false">IF($A1692="","",IF($B1692&lt;PlanDate,"Late",""))</f>
        <v/>
      </c>
    </row>
    <row r="1693" customFormat="false" ht="15" hidden="false" customHeight="false" outlineLevel="0" collapsed="false">
      <c r="A1693" s="11"/>
      <c r="B1693" s="6"/>
      <c r="C1693" s="11"/>
      <c r="D1693" s="11"/>
      <c r="E1693" s="8" t="str">
        <f aca="false">IF($A1693="","",IF($B1693&lt;PlanDate,"Late",""))</f>
        <v/>
      </c>
    </row>
    <row r="1694" customFormat="false" ht="15" hidden="false" customHeight="false" outlineLevel="0" collapsed="false">
      <c r="A1694" s="11"/>
      <c r="B1694" s="6"/>
      <c r="C1694" s="11"/>
      <c r="D1694" s="11"/>
      <c r="E1694" s="8" t="str">
        <f aca="false">IF($A1694="","",IF($B1694&lt;PlanDate,"Late",""))</f>
        <v/>
      </c>
    </row>
    <row r="1695" customFormat="false" ht="15" hidden="false" customHeight="false" outlineLevel="0" collapsed="false">
      <c r="A1695" s="11"/>
      <c r="B1695" s="6"/>
      <c r="C1695" s="11"/>
      <c r="D1695" s="11"/>
      <c r="E1695" s="8" t="str">
        <f aca="false">IF($A1695="","",IF($B1695&lt;PlanDate,"Late",""))</f>
        <v/>
      </c>
    </row>
    <row r="1696" customFormat="false" ht="15" hidden="false" customHeight="false" outlineLevel="0" collapsed="false">
      <c r="A1696" s="11"/>
      <c r="B1696" s="6"/>
      <c r="C1696" s="11"/>
      <c r="D1696" s="11"/>
      <c r="E1696" s="8" t="str">
        <f aca="false">IF($A1696="","",IF($B1696&lt;PlanDate,"Late",""))</f>
        <v/>
      </c>
    </row>
    <row r="1697" customFormat="false" ht="15" hidden="false" customHeight="false" outlineLevel="0" collapsed="false">
      <c r="A1697" s="11"/>
      <c r="B1697" s="6"/>
      <c r="C1697" s="11"/>
      <c r="D1697" s="11"/>
      <c r="E1697" s="8" t="str">
        <f aca="false">IF($A1697="","",IF($B1697&lt;PlanDate,"Late",""))</f>
        <v/>
      </c>
    </row>
    <row r="1698" customFormat="false" ht="15" hidden="false" customHeight="false" outlineLevel="0" collapsed="false">
      <c r="A1698" s="11"/>
      <c r="B1698" s="6"/>
      <c r="C1698" s="11"/>
      <c r="D1698" s="11"/>
      <c r="E1698" s="8" t="str">
        <f aca="false">IF($A1698="","",IF($B1698&lt;PlanDate,"Late",""))</f>
        <v/>
      </c>
    </row>
    <row r="1699" customFormat="false" ht="15" hidden="false" customHeight="false" outlineLevel="0" collapsed="false">
      <c r="A1699" s="11"/>
      <c r="B1699" s="6"/>
      <c r="C1699" s="11"/>
      <c r="D1699" s="11"/>
      <c r="E1699" s="8" t="str">
        <f aca="false">IF($A1699="","",IF($B1699&lt;PlanDate,"Late",""))</f>
        <v/>
      </c>
    </row>
    <row r="1700" customFormat="false" ht="15" hidden="false" customHeight="false" outlineLevel="0" collapsed="false">
      <c r="A1700" s="11"/>
      <c r="B1700" s="6"/>
      <c r="C1700" s="11"/>
      <c r="D1700" s="11"/>
      <c r="E1700" s="8" t="str">
        <f aca="false">IF($A1700="","",IF($B1700&lt;PlanDate,"Late",""))</f>
        <v/>
      </c>
    </row>
    <row r="1701" customFormat="false" ht="15" hidden="false" customHeight="false" outlineLevel="0" collapsed="false">
      <c r="A1701" s="11"/>
      <c r="B1701" s="6"/>
      <c r="C1701" s="11"/>
      <c r="D1701" s="11"/>
      <c r="E1701" s="8" t="str">
        <f aca="false">IF($A1701="","",IF($B1701&lt;PlanDate,"Late",""))</f>
        <v/>
      </c>
    </row>
    <row r="1702" customFormat="false" ht="15" hidden="false" customHeight="false" outlineLevel="0" collapsed="false">
      <c r="A1702" s="11"/>
      <c r="B1702" s="6"/>
      <c r="C1702" s="11"/>
      <c r="D1702" s="11"/>
      <c r="E1702" s="8" t="str">
        <f aca="false">IF($A1702="","",IF($B1702&lt;PlanDate,"Late",""))</f>
        <v/>
      </c>
    </row>
    <row r="1703" customFormat="false" ht="15" hidden="false" customHeight="false" outlineLevel="0" collapsed="false">
      <c r="A1703" s="11"/>
      <c r="B1703" s="6"/>
      <c r="C1703" s="11"/>
      <c r="D1703" s="11"/>
      <c r="E1703" s="8" t="str">
        <f aca="false">IF($A1703="","",IF($B1703&lt;PlanDate,"Late",""))</f>
        <v/>
      </c>
    </row>
    <row r="1704" customFormat="false" ht="15" hidden="false" customHeight="false" outlineLevel="0" collapsed="false">
      <c r="A1704" s="11"/>
      <c r="B1704" s="6"/>
      <c r="C1704" s="11"/>
      <c r="D1704" s="11"/>
      <c r="E1704" s="8" t="str">
        <f aca="false">IF($A1704="","",IF($B1704&lt;PlanDate,"Late",""))</f>
        <v/>
      </c>
    </row>
    <row r="1705" customFormat="false" ht="15" hidden="false" customHeight="false" outlineLevel="0" collapsed="false">
      <c r="A1705" s="11"/>
      <c r="B1705" s="6"/>
      <c r="C1705" s="11"/>
      <c r="D1705" s="11"/>
      <c r="E1705" s="8" t="str">
        <f aca="false">IF($A1705="","",IF($B1705&lt;PlanDate,"Late",""))</f>
        <v/>
      </c>
    </row>
    <row r="1706" customFormat="false" ht="15" hidden="false" customHeight="false" outlineLevel="0" collapsed="false">
      <c r="A1706" s="11"/>
      <c r="B1706" s="6"/>
      <c r="C1706" s="11"/>
      <c r="D1706" s="11"/>
      <c r="E1706" s="8" t="str">
        <f aca="false">IF($A1706="","",IF($B1706&lt;PlanDate,"Late",""))</f>
        <v/>
      </c>
    </row>
    <row r="1707" customFormat="false" ht="15" hidden="false" customHeight="false" outlineLevel="0" collapsed="false">
      <c r="A1707" s="11"/>
      <c r="B1707" s="6"/>
      <c r="C1707" s="11"/>
      <c r="D1707" s="11"/>
      <c r="E1707" s="8" t="str">
        <f aca="false">IF($A1707="","",IF($B1707&lt;PlanDate,"Late",""))</f>
        <v/>
      </c>
    </row>
    <row r="1708" customFormat="false" ht="15" hidden="false" customHeight="false" outlineLevel="0" collapsed="false">
      <c r="A1708" s="11"/>
      <c r="B1708" s="6"/>
      <c r="C1708" s="11"/>
      <c r="D1708" s="11"/>
      <c r="E1708" s="8" t="str">
        <f aca="false">IF($A1708="","",IF($B1708&lt;PlanDate,"Late",""))</f>
        <v/>
      </c>
    </row>
    <row r="1709" customFormat="false" ht="15" hidden="false" customHeight="false" outlineLevel="0" collapsed="false">
      <c r="A1709" s="11"/>
      <c r="B1709" s="6"/>
      <c r="C1709" s="11"/>
      <c r="D1709" s="11"/>
      <c r="E1709" s="8" t="str">
        <f aca="false">IF($A1709="","",IF($B1709&lt;PlanDate,"Late",""))</f>
        <v/>
      </c>
    </row>
    <row r="1710" customFormat="false" ht="15" hidden="false" customHeight="false" outlineLevel="0" collapsed="false">
      <c r="A1710" s="11"/>
      <c r="B1710" s="6"/>
      <c r="C1710" s="11"/>
      <c r="D1710" s="11"/>
      <c r="E1710" s="8" t="str">
        <f aca="false">IF($A1710="","",IF($B1710&lt;PlanDate,"Late",""))</f>
        <v/>
      </c>
    </row>
    <row r="1711" customFormat="false" ht="15" hidden="false" customHeight="false" outlineLevel="0" collapsed="false">
      <c r="A1711" s="11"/>
      <c r="B1711" s="6"/>
      <c r="C1711" s="11"/>
      <c r="D1711" s="11"/>
      <c r="E1711" s="8" t="str">
        <f aca="false">IF($A1711="","",IF($B1711&lt;PlanDate,"Late",""))</f>
        <v/>
      </c>
    </row>
    <row r="1712" customFormat="false" ht="15" hidden="false" customHeight="false" outlineLevel="0" collapsed="false">
      <c r="A1712" s="11"/>
      <c r="B1712" s="6"/>
      <c r="C1712" s="11"/>
      <c r="D1712" s="11"/>
      <c r="E1712" s="8" t="str">
        <f aca="false">IF($A1712="","",IF($B1712&lt;PlanDate,"Late",""))</f>
        <v/>
      </c>
    </row>
    <row r="1713" customFormat="false" ht="15" hidden="false" customHeight="false" outlineLevel="0" collapsed="false">
      <c r="A1713" s="11"/>
      <c r="B1713" s="6"/>
      <c r="C1713" s="11"/>
      <c r="D1713" s="11"/>
      <c r="E1713" s="8" t="str">
        <f aca="false">IF($A1713="","",IF($B1713&lt;PlanDate,"Late",""))</f>
        <v/>
      </c>
    </row>
    <row r="1714" customFormat="false" ht="15" hidden="false" customHeight="false" outlineLevel="0" collapsed="false">
      <c r="A1714" s="11"/>
      <c r="B1714" s="6"/>
      <c r="C1714" s="11"/>
      <c r="D1714" s="11"/>
      <c r="E1714" s="8" t="str">
        <f aca="false">IF($A1714="","",IF($B1714&lt;PlanDate,"Late",""))</f>
        <v/>
      </c>
    </row>
    <row r="1715" customFormat="false" ht="15" hidden="false" customHeight="false" outlineLevel="0" collapsed="false">
      <c r="A1715" s="11"/>
      <c r="B1715" s="6"/>
      <c r="C1715" s="11"/>
      <c r="D1715" s="11"/>
      <c r="E1715" s="8" t="str">
        <f aca="false">IF($A1715="","",IF($B1715&lt;PlanDate,"Late",""))</f>
        <v/>
      </c>
    </row>
    <row r="1716" customFormat="false" ht="15" hidden="false" customHeight="false" outlineLevel="0" collapsed="false">
      <c r="A1716" s="11"/>
      <c r="B1716" s="6"/>
      <c r="C1716" s="11"/>
      <c r="D1716" s="11"/>
      <c r="E1716" s="8" t="str">
        <f aca="false">IF($A1716="","",IF($B1716&lt;PlanDate,"Late",""))</f>
        <v/>
      </c>
    </row>
    <row r="1717" customFormat="false" ht="15" hidden="false" customHeight="false" outlineLevel="0" collapsed="false">
      <c r="A1717" s="11"/>
      <c r="B1717" s="6"/>
      <c r="C1717" s="11"/>
      <c r="D1717" s="11"/>
      <c r="E1717" s="8" t="str">
        <f aca="false">IF($A1717="","",IF($B1717&lt;PlanDate,"Late",""))</f>
        <v/>
      </c>
    </row>
    <row r="1718" customFormat="false" ht="15" hidden="false" customHeight="false" outlineLevel="0" collapsed="false">
      <c r="A1718" s="11"/>
      <c r="B1718" s="6"/>
      <c r="C1718" s="11"/>
      <c r="D1718" s="11"/>
      <c r="E1718" s="8" t="str">
        <f aca="false">IF($A1718="","",IF($B1718&lt;PlanDate,"Late",""))</f>
        <v/>
      </c>
    </row>
    <row r="1719" customFormat="false" ht="15" hidden="false" customHeight="false" outlineLevel="0" collapsed="false">
      <c r="A1719" s="11"/>
      <c r="B1719" s="6"/>
      <c r="C1719" s="11"/>
      <c r="D1719" s="11"/>
      <c r="E1719" s="8" t="str">
        <f aca="false">IF($A1719="","",IF($B1719&lt;PlanDate,"Late",""))</f>
        <v/>
      </c>
    </row>
    <row r="1720" customFormat="false" ht="15" hidden="false" customHeight="false" outlineLevel="0" collapsed="false">
      <c r="A1720" s="11"/>
      <c r="B1720" s="6"/>
      <c r="C1720" s="11"/>
      <c r="D1720" s="11"/>
      <c r="E1720" s="8" t="str">
        <f aca="false">IF($A1720="","",IF($B1720&lt;PlanDate,"Late",""))</f>
        <v/>
      </c>
    </row>
    <row r="1721" customFormat="false" ht="15" hidden="false" customHeight="false" outlineLevel="0" collapsed="false">
      <c r="A1721" s="11"/>
      <c r="B1721" s="6"/>
      <c r="C1721" s="11"/>
      <c r="D1721" s="11"/>
      <c r="E1721" s="8" t="str">
        <f aca="false">IF($A1721="","",IF($B1721&lt;PlanDate,"Late",""))</f>
        <v/>
      </c>
    </row>
    <row r="1722" customFormat="false" ht="15" hidden="false" customHeight="false" outlineLevel="0" collapsed="false">
      <c r="A1722" s="11"/>
      <c r="B1722" s="6"/>
      <c r="C1722" s="11"/>
      <c r="D1722" s="11"/>
      <c r="E1722" s="8" t="str">
        <f aca="false">IF($A1722="","",IF($B1722&lt;PlanDate,"Late",""))</f>
        <v/>
      </c>
    </row>
    <row r="1723" customFormat="false" ht="15" hidden="false" customHeight="false" outlineLevel="0" collapsed="false">
      <c r="A1723" s="11"/>
      <c r="B1723" s="6"/>
      <c r="C1723" s="11"/>
      <c r="D1723" s="11"/>
      <c r="E1723" s="8" t="str">
        <f aca="false">IF($A1723="","",IF($B1723&lt;PlanDate,"Late",""))</f>
        <v/>
      </c>
    </row>
    <row r="1724" customFormat="false" ht="15" hidden="false" customHeight="false" outlineLevel="0" collapsed="false">
      <c r="A1724" s="11"/>
      <c r="B1724" s="6"/>
      <c r="C1724" s="11"/>
      <c r="D1724" s="11"/>
      <c r="E1724" s="8" t="str">
        <f aca="false">IF($A1724="","",IF($B1724&lt;PlanDate,"Late",""))</f>
        <v/>
      </c>
    </row>
    <row r="1725" customFormat="false" ht="15" hidden="false" customHeight="false" outlineLevel="0" collapsed="false">
      <c r="A1725" s="11"/>
      <c r="B1725" s="6"/>
      <c r="C1725" s="11"/>
      <c r="D1725" s="11"/>
      <c r="E1725" s="8" t="str">
        <f aca="false">IF($A1725="","",IF($B1725&lt;PlanDate,"Late",""))</f>
        <v/>
      </c>
    </row>
    <row r="1726" customFormat="false" ht="15" hidden="false" customHeight="false" outlineLevel="0" collapsed="false">
      <c r="A1726" s="11"/>
      <c r="B1726" s="6"/>
      <c r="C1726" s="11"/>
      <c r="D1726" s="11"/>
      <c r="E1726" s="8" t="str">
        <f aca="false">IF($A1726="","",IF($B1726&lt;PlanDate,"Late",""))</f>
        <v/>
      </c>
    </row>
    <row r="1727" customFormat="false" ht="15" hidden="false" customHeight="false" outlineLevel="0" collapsed="false">
      <c r="A1727" s="11"/>
      <c r="B1727" s="6"/>
      <c r="C1727" s="11"/>
      <c r="D1727" s="11"/>
      <c r="E1727" s="8" t="str">
        <f aca="false">IF($A1727="","",IF($B1727&lt;PlanDate,"Late",""))</f>
        <v/>
      </c>
    </row>
    <row r="1728" customFormat="false" ht="15" hidden="false" customHeight="false" outlineLevel="0" collapsed="false">
      <c r="A1728" s="11"/>
      <c r="B1728" s="6"/>
      <c r="C1728" s="11"/>
      <c r="D1728" s="11"/>
      <c r="E1728" s="8" t="str">
        <f aca="false">IF($A1728="","",IF($B1728&lt;PlanDate,"Late",""))</f>
        <v/>
      </c>
    </row>
    <row r="1729" customFormat="false" ht="15" hidden="false" customHeight="false" outlineLevel="0" collapsed="false">
      <c r="A1729" s="11"/>
      <c r="B1729" s="6"/>
      <c r="C1729" s="11"/>
      <c r="D1729" s="11"/>
      <c r="E1729" s="8" t="str">
        <f aca="false">IF($A1729="","",IF($B1729&lt;PlanDate,"Late",""))</f>
        <v/>
      </c>
    </row>
    <row r="1730" customFormat="false" ht="15" hidden="false" customHeight="false" outlineLevel="0" collapsed="false">
      <c r="A1730" s="11"/>
      <c r="B1730" s="6"/>
      <c r="C1730" s="11"/>
      <c r="D1730" s="11"/>
      <c r="E1730" s="8" t="str">
        <f aca="false">IF($A1730="","",IF($B1730&lt;PlanDate,"Late",""))</f>
        <v/>
      </c>
    </row>
    <row r="1731" customFormat="false" ht="15" hidden="false" customHeight="false" outlineLevel="0" collapsed="false">
      <c r="A1731" s="11"/>
      <c r="B1731" s="6"/>
      <c r="C1731" s="11"/>
      <c r="D1731" s="11"/>
      <c r="E1731" s="8" t="str">
        <f aca="false">IF($A1731="","",IF($B1731&lt;PlanDate,"Late",""))</f>
        <v/>
      </c>
    </row>
    <row r="1732" customFormat="false" ht="15" hidden="false" customHeight="false" outlineLevel="0" collapsed="false">
      <c r="A1732" s="11"/>
      <c r="B1732" s="6"/>
      <c r="C1732" s="11"/>
      <c r="D1732" s="11"/>
      <c r="E1732" s="8" t="str">
        <f aca="false">IF($A1732="","",IF($B1732&lt;PlanDate,"Late",""))</f>
        <v/>
      </c>
    </row>
    <row r="1733" customFormat="false" ht="15" hidden="false" customHeight="false" outlineLevel="0" collapsed="false">
      <c r="A1733" s="11"/>
      <c r="B1733" s="6"/>
      <c r="C1733" s="11"/>
      <c r="D1733" s="11"/>
      <c r="E1733" s="8" t="str">
        <f aca="false">IF($A1733="","",IF($B1733&lt;PlanDate,"Late",""))</f>
        <v/>
      </c>
    </row>
    <row r="1734" customFormat="false" ht="15" hidden="false" customHeight="false" outlineLevel="0" collapsed="false">
      <c r="A1734" s="11"/>
      <c r="B1734" s="6"/>
      <c r="C1734" s="11"/>
      <c r="D1734" s="11"/>
      <c r="E1734" s="8" t="str">
        <f aca="false">IF($A1734="","",IF($B1734&lt;PlanDate,"Late",""))</f>
        <v/>
      </c>
    </row>
    <row r="1735" customFormat="false" ht="15" hidden="false" customHeight="false" outlineLevel="0" collapsed="false">
      <c r="A1735" s="11"/>
      <c r="B1735" s="6"/>
      <c r="C1735" s="11"/>
      <c r="D1735" s="11"/>
      <c r="E1735" s="8" t="str">
        <f aca="false">IF($A1735="","",IF($B1735&lt;PlanDate,"Late",""))</f>
        <v/>
      </c>
    </row>
    <row r="1736" customFormat="false" ht="15" hidden="false" customHeight="false" outlineLevel="0" collapsed="false">
      <c r="A1736" s="11"/>
      <c r="B1736" s="6"/>
      <c r="C1736" s="11"/>
      <c r="D1736" s="11"/>
      <c r="E1736" s="8" t="str">
        <f aca="false">IF($A1736="","",IF($B1736&lt;PlanDate,"Late",""))</f>
        <v/>
      </c>
    </row>
    <row r="1737" customFormat="false" ht="15" hidden="false" customHeight="false" outlineLevel="0" collapsed="false">
      <c r="A1737" s="11"/>
      <c r="B1737" s="6"/>
      <c r="C1737" s="11"/>
      <c r="D1737" s="11"/>
      <c r="E1737" s="8" t="str">
        <f aca="false">IF($A1737="","",IF($B1737&lt;PlanDate,"Late",""))</f>
        <v/>
      </c>
    </row>
    <row r="1738" customFormat="false" ht="15" hidden="false" customHeight="false" outlineLevel="0" collapsed="false">
      <c r="A1738" s="11"/>
      <c r="B1738" s="6"/>
      <c r="C1738" s="11"/>
      <c r="D1738" s="11"/>
      <c r="E1738" s="8" t="str">
        <f aca="false">IF($A1738="","",IF($B1738&lt;PlanDate,"Late",""))</f>
        <v/>
      </c>
    </row>
    <row r="1739" customFormat="false" ht="15" hidden="false" customHeight="false" outlineLevel="0" collapsed="false">
      <c r="A1739" s="11"/>
      <c r="B1739" s="6"/>
      <c r="C1739" s="11"/>
      <c r="D1739" s="11"/>
      <c r="E1739" s="8" t="str">
        <f aca="false">IF($A1739="","",IF($B1739&lt;PlanDate,"Late",""))</f>
        <v/>
      </c>
    </row>
    <row r="1740" customFormat="false" ht="15" hidden="false" customHeight="false" outlineLevel="0" collapsed="false">
      <c r="A1740" s="11"/>
      <c r="B1740" s="6"/>
      <c r="C1740" s="11"/>
      <c r="D1740" s="11"/>
      <c r="E1740" s="8" t="str">
        <f aca="false">IF($A1740="","",IF($B1740&lt;PlanDate,"Late",""))</f>
        <v/>
      </c>
    </row>
    <row r="1741" customFormat="false" ht="15" hidden="false" customHeight="false" outlineLevel="0" collapsed="false">
      <c r="A1741" s="11"/>
      <c r="B1741" s="6"/>
      <c r="C1741" s="11"/>
      <c r="D1741" s="11"/>
      <c r="E1741" s="8" t="str">
        <f aca="false">IF($A1741="","",IF($B1741&lt;PlanDate,"Late",""))</f>
        <v/>
      </c>
    </row>
    <row r="1742" customFormat="false" ht="15" hidden="false" customHeight="false" outlineLevel="0" collapsed="false">
      <c r="A1742" s="11"/>
      <c r="B1742" s="6"/>
      <c r="C1742" s="11"/>
      <c r="D1742" s="11"/>
      <c r="E1742" s="8" t="str">
        <f aca="false">IF($A1742="","",IF($B1742&lt;PlanDate,"Late",""))</f>
        <v/>
      </c>
    </row>
    <row r="1743" customFormat="false" ht="15" hidden="false" customHeight="false" outlineLevel="0" collapsed="false">
      <c r="A1743" s="11"/>
      <c r="B1743" s="6"/>
      <c r="C1743" s="11"/>
      <c r="D1743" s="11"/>
      <c r="E1743" s="8" t="str">
        <f aca="false">IF($A1743="","",IF($B1743&lt;PlanDate,"Late",""))</f>
        <v/>
      </c>
    </row>
    <row r="1744" customFormat="false" ht="15" hidden="false" customHeight="false" outlineLevel="0" collapsed="false">
      <c r="A1744" s="11"/>
      <c r="B1744" s="6"/>
      <c r="C1744" s="11"/>
      <c r="D1744" s="11"/>
      <c r="E1744" s="8" t="str">
        <f aca="false">IF($A1744="","",IF($B1744&lt;PlanDate,"Late",""))</f>
        <v/>
      </c>
    </row>
    <row r="1745" customFormat="false" ht="15" hidden="false" customHeight="false" outlineLevel="0" collapsed="false">
      <c r="A1745" s="11"/>
      <c r="B1745" s="6"/>
      <c r="C1745" s="11"/>
      <c r="D1745" s="11"/>
      <c r="E1745" s="8" t="str">
        <f aca="false">IF($A1745="","",IF($B1745&lt;PlanDate,"Late",""))</f>
        <v/>
      </c>
    </row>
    <row r="1746" customFormat="false" ht="15" hidden="false" customHeight="false" outlineLevel="0" collapsed="false">
      <c r="A1746" s="11"/>
      <c r="B1746" s="6"/>
      <c r="C1746" s="11"/>
      <c r="D1746" s="11"/>
      <c r="E1746" s="8" t="str">
        <f aca="false">IF($A1746="","",IF($B1746&lt;PlanDate,"Late",""))</f>
        <v/>
      </c>
    </row>
    <row r="1747" customFormat="false" ht="15" hidden="false" customHeight="false" outlineLevel="0" collapsed="false">
      <c r="A1747" s="11"/>
      <c r="B1747" s="6"/>
      <c r="C1747" s="11"/>
      <c r="D1747" s="11"/>
      <c r="E1747" s="8" t="str">
        <f aca="false">IF($A1747="","",IF($B1747&lt;PlanDate,"Late",""))</f>
        <v/>
      </c>
    </row>
    <row r="1748" customFormat="false" ht="15" hidden="false" customHeight="false" outlineLevel="0" collapsed="false">
      <c r="A1748" s="11"/>
      <c r="B1748" s="6"/>
      <c r="C1748" s="11"/>
      <c r="D1748" s="11"/>
      <c r="E1748" s="8" t="str">
        <f aca="false">IF($A1748="","",IF($B1748&lt;PlanDate,"Late",""))</f>
        <v/>
      </c>
    </row>
    <row r="1749" customFormat="false" ht="15" hidden="false" customHeight="false" outlineLevel="0" collapsed="false">
      <c r="A1749" s="11"/>
      <c r="B1749" s="6"/>
      <c r="C1749" s="11"/>
      <c r="D1749" s="11"/>
      <c r="E1749" s="8" t="str">
        <f aca="false">IF($A1749="","",IF($B1749&lt;PlanDate,"Late",""))</f>
        <v/>
      </c>
    </row>
    <row r="1750" customFormat="false" ht="15" hidden="false" customHeight="false" outlineLevel="0" collapsed="false">
      <c r="A1750" s="11"/>
      <c r="B1750" s="6"/>
      <c r="C1750" s="11"/>
      <c r="D1750" s="11"/>
      <c r="E1750" s="8" t="str">
        <f aca="false">IF($A1750="","",IF($B1750&lt;PlanDate,"Late",""))</f>
        <v/>
      </c>
    </row>
    <row r="1751" customFormat="false" ht="15" hidden="false" customHeight="false" outlineLevel="0" collapsed="false">
      <c r="A1751" s="11"/>
      <c r="B1751" s="6"/>
      <c r="C1751" s="11"/>
      <c r="D1751" s="11"/>
      <c r="E1751" s="8" t="str">
        <f aca="false">IF($A1751="","",IF($B1751&lt;PlanDate,"Late",""))</f>
        <v/>
      </c>
    </row>
    <row r="1752" customFormat="false" ht="15" hidden="false" customHeight="false" outlineLevel="0" collapsed="false">
      <c r="A1752" s="11"/>
      <c r="B1752" s="6"/>
      <c r="C1752" s="11"/>
      <c r="D1752" s="11"/>
      <c r="E1752" s="8" t="str">
        <f aca="false">IF($A1752="","",IF($B1752&lt;PlanDate,"Late",""))</f>
        <v/>
      </c>
    </row>
    <row r="1753" customFormat="false" ht="15" hidden="false" customHeight="false" outlineLevel="0" collapsed="false">
      <c r="A1753" s="11"/>
      <c r="B1753" s="6"/>
      <c r="C1753" s="11"/>
      <c r="D1753" s="11"/>
      <c r="E1753" s="8" t="str">
        <f aca="false">IF($A1753="","",IF($B1753&lt;PlanDate,"Late",""))</f>
        <v/>
      </c>
    </row>
    <row r="1754" customFormat="false" ht="15" hidden="false" customHeight="false" outlineLevel="0" collapsed="false">
      <c r="A1754" s="11"/>
      <c r="B1754" s="6"/>
      <c r="C1754" s="11"/>
      <c r="D1754" s="11"/>
      <c r="E1754" s="8" t="str">
        <f aca="false">IF($A1754="","",IF($B1754&lt;PlanDate,"Late",""))</f>
        <v/>
      </c>
    </row>
    <row r="1755" customFormat="false" ht="15" hidden="false" customHeight="false" outlineLevel="0" collapsed="false">
      <c r="A1755" s="11"/>
      <c r="B1755" s="6"/>
      <c r="C1755" s="11"/>
      <c r="D1755" s="11"/>
      <c r="E1755" s="8" t="str">
        <f aca="false">IF($A1755="","",IF($B1755&lt;PlanDate,"Late",""))</f>
        <v/>
      </c>
    </row>
    <row r="1756" customFormat="false" ht="15" hidden="false" customHeight="false" outlineLevel="0" collapsed="false">
      <c r="A1756" s="11"/>
      <c r="B1756" s="6"/>
      <c r="C1756" s="11"/>
      <c r="D1756" s="11"/>
      <c r="E1756" s="8" t="str">
        <f aca="false">IF($A1756="","",IF($B1756&lt;PlanDate,"Late",""))</f>
        <v/>
      </c>
    </row>
    <row r="1757" customFormat="false" ht="15" hidden="false" customHeight="false" outlineLevel="0" collapsed="false">
      <c r="A1757" s="11"/>
      <c r="B1757" s="6"/>
      <c r="C1757" s="11"/>
      <c r="D1757" s="11"/>
      <c r="E1757" s="8" t="str">
        <f aca="false">IF($A1757="","",IF($B1757&lt;PlanDate,"Late",""))</f>
        <v/>
      </c>
    </row>
    <row r="1758" customFormat="false" ht="15" hidden="false" customHeight="false" outlineLevel="0" collapsed="false">
      <c r="A1758" s="11"/>
      <c r="B1758" s="6"/>
      <c r="C1758" s="11"/>
      <c r="D1758" s="11"/>
      <c r="E1758" s="8" t="str">
        <f aca="false">IF($A1758="","",IF($B1758&lt;PlanDate,"Late",""))</f>
        <v/>
      </c>
    </row>
    <row r="1759" customFormat="false" ht="15" hidden="false" customHeight="false" outlineLevel="0" collapsed="false">
      <c r="A1759" s="11"/>
      <c r="B1759" s="6"/>
      <c r="C1759" s="11"/>
      <c r="D1759" s="11"/>
      <c r="E1759" s="8" t="str">
        <f aca="false">IF($A1759="","",IF($B1759&lt;PlanDate,"Late",""))</f>
        <v/>
      </c>
    </row>
    <row r="1760" customFormat="false" ht="15" hidden="false" customHeight="false" outlineLevel="0" collapsed="false">
      <c r="A1760" s="11"/>
      <c r="B1760" s="6"/>
      <c r="C1760" s="11"/>
      <c r="D1760" s="11"/>
      <c r="E1760" s="8" t="str">
        <f aca="false">IF($A1760="","",IF($B1760&lt;PlanDate,"Late",""))</f>
        <v/>
      </c>
    </row>
    <row r="1761" customFormat="false" ht="15" hidden="false" customHeight="false" outlineLevel="0" collapsed="false">
      <c r="A1761" s="11"/>
      <c r="B1761" s="6"/>
      <c r="C1761" s="11"/>
      <c r="D1761" s="11"/>
      <c r="E1761" s="8" t="str">
        <f aca="false">IF($A1761="","",IF($B1761&lt;PlanDate,"Late",""))</f>
        <v/>
      </c>
    </row>
    <row r="1762" customFormat="false" ht="15" hidden="false" customHeight="false" outlineLevel="0" collapsed="false">
      <c r="A1762" s="11"/>
      <c r="B1762" s="6"/>
      <c r="C1762" s="11"/>
      <c r="D1762" s="11"/>
      <c r="E1762" s="8" t="str">
        <f aca="false">IF($A1762="","",IF($B1762&lt;PlanDate,"Late",""))</f>
        <v/>
      </c>
    </row>
    <row r="1763" customFormat="false" ht="15" hidden="false" customHeight="false" outlineLevel="0" collapsed="false">
      <c r="A1763" s="11"/>
      <c r="B1763" s="6"/>
      <c r="C1763" s="11"/>
      <c r="D1763" s="11"/>
      <c r="E1763" s="8" t="str">
        <f aca="false">IF($A1763="","",IF($B1763&lt;PlanDate,"Late",""))</f>
        <v/>
      </c>
    </row>
    <row r="1764" customFormat="false" ht="15" hidden="false" customHeight="false" outlineLevel="0" collapsed="false">
      <c r="A1764" s="11"/>
      <c r="B1764" s="6"/>
      <c r="C1764" s="11"/>
      <c r="D1764" s="11"/>
      <c r="E1764" s="8" t="str">
        <f aca="false">IF($A1764="","",IF($B1764&lt;PlanDate,"Late",""))</f>
        <v/>
      </c>
    </row>
    <row r="1765" customFormat="false" ht="15" hidden="false" customHeight="false" outlineLevel="0" collapsed="false">
      <c r="A1765" s="11"/>
      <c r="B1765" s="6"/>
      <c r="C1765" s="11"/>
      <c r="D1765" s="11"/>
      <c r="E1765" s="8" t="str">
        <f aca="false">IF($A1765="","",IF($B1765&lt;PlanDate,"Late",""))</f>
        <v/>
      </c>
    </row>
    <row r="1766" customFormat="false" ht="15" hidden="false" customHeight="false" outlineLevel="0" collapsed="false">
      <c r="A1766" s="11"/>
      <c r="B1766" s="6"/>
      <c r="C1766" s="11"/>
      <c r="D1766" s="11"/>
      <c r="E1766" s="8" t="str">
        <f aca="false">IF($A1766="","",IF($B1766&lt;PlanDate,"Late",""))</f>
        <v/>
      </c>
    </row>
    <row r="1767" customFormat="false" ht="15" hidden="false" customHeight="false" outlineLevel="0" collapsed="false">
      <c r="A1767" s="11"/>
      <c r="B1767" s="6"/>
      <c r="C1767" s="11"/>
      <c r="D1767" s="11"/>
      <c r="E1767" s="8" t="str">
        <f aca="false">IF($A1767="","",IF($B1767&lt;PlanDate,"Late",""))</f>
        <v/>
      </c>
    </row>
    <row r="1768" customFormat="false" ht="15" hidden="false" customHeight="false" outlineLevel="0" collapsed="false">
      <c r="A1768" s="11"/>
      <c r="B1768" s="6"/>
      <c r="C1768" s="11"/>
      <c r="D1768" s="11"/>
      <c r="E1768" s="8" t="str">
        <f aca="false">IF($A1768="","",IF($B1768&lt;PlanDate,"Late",""))</f>
        <v/>
      </c>
    </row>
    <row r="1769" customFormat="false" ht="15" hidden="false" customHeight="false" outlineLevel="0" collapsed="false">
      <c r="A1769" s="11"/>
      <c r="B1769" s="6"/>
      <c r="C1769" s="11"/>
      <c r="D1769" s="11"/>
      <c r="E1769" s="8" t="str">
        <f aca="false">IF($A1769="","",IF($B1769&lt;PlanDate,"Late",""))</f>
        <v/>
      </c>
    </row>
    <row r="1770" customFormat="false" ht="15" hidden="false" customHeight="false" outlineLevel="0" collapsed="false">
      <c r="A1770" s="11"/>
      <c r="B1770" s="6"/>
      <c r="C1770" s="11"/>
      <c r="D1770" s="11"/>
      <c r="E1770" s="8" t="str">
        <f aca="false">IF($A1770="","",IF($B1770&lt;PlanDate,"Late",""))</f>
        <v/>
      </c>
    </row>
    <row r="1771" customFormat="false" ht="15" hidden="false" customHeight="false" outlineLevel="0" collapsed="false">
      <c r="A1771" s="11"/>
      <c r="B1771" s="6"/>
      <c r="C1771" s="11"/>
      <c r="D1771" s="11"/>
      <c r="E1771" s="8" t="str">
        <f aca="false">IF($A1771="","",IF($B1771&lt;PlanDate,"Late",""))</f>
        <v/>
      </c>
    </row>
    <row r="1772" customFormat="false" ht="15" hidden="false" customHeight="false" outlineLevel="0" collapsed="false">
      <c r="A1772" s="11"/>
      <c r="B1772" s="6"/>
      <c r="C1772" s="11"/>
      <c r="D1772" s="11"/>
      <c r="E1772" s="8" t="str">
        <f aca="false">IF($A1772="","",IF($B1772&lt;PlanDate,"Late",""))</f>
        <v/>
      </c>
    </row>
    <row r="1773" customFormat="false" ht="15" hidden="false" customHeight="false" outlineLevel="0" collapsed="false">
      <c r="A1773" s="11"/>
      <c r="B1773" s="6"/>
      <c r="C1773" s="11"/>
      <c r="D1773" s="11"/>
      <c r="E1773" s="8" t="str">
        <f aca="false">IF($A1773="","",IF($B1773&lt;PlanDate,"Late",""))</f>
        <v/>
      </c>
    </row>
    <row r="1774" customFormat="false" ht="15" hidden="false" customHeight="false" outlineLevel="0" collapsed="false">
      <c r="A1774" s="11"/>
      <c r="B1774" s="6"/>
      <c r="C1774" s="11"/>
      <c r="D1774" s="11"/>
      <c r="E1774" s="8" t="str">
        <f aca="false">IF($A1774="","",IF($B1774&lt;PlanDate,"Late",""))</f>
        <v/>
      </c>
    </row>
    <row r="1775" customFormat="false" ht="15" hidden="false" customHeight="false" outlineLevel="0" collapsed="false">
      <c r="A1775" s="11"/>
      <c r="B1775" s="6"/>
      <c r="C1775" s="11"/>
      <c r="D1775" s="11"/>
      <c r="E1775" s="8" t="str">
        <f aca="false">IF($A1775="","",IF($B1775&lt;PlanDate,"Late",""))</f>
        <v/>
      </c>
    </row>
    <row r="1776" customFormat="false" ht="15" hidden="false" customHeight="false" outlineLevel="0" collapsed="false">
      <c r="A1776" s="11"/>
      <c r="B1776" s="6"/>
      <c r="C1776" s="11"/>
      <c r="D1776" s="11"/>
      <c r="E1776" s="8" t="str">
        <f aca="false">IF($A1776="","",IF($B1776&lt;PlanDate,"Late",""))</f>
        <v/>
      </c>
    </row>
    <row r="1777" customFormat="false" ht="15" hidden="false" customHeight="false" outlineLevel="0" collapsed="false">
      <c r="A1777" s="11"/>
      <c r="B1777" s="6"/>
      <c r="C1777" s="11"/>
      <c r="D1777" s="11"/>
      <c r="E1777" s="8" t="str">
        <f aca="false">IF($A1777="","",IF($B1777&lt;PlanDate,"Late",""))</f>
        <v/>
      </c>
    </row>
    <row r="1778" customFormat="false" ht="15" hidden="false" customHeight="false" outlineLevel="0" collapsed="false">
      <c r="A1778" s="11"/>
      <c r="B1778" s="6"/>
      <c r="C1778" s="11"/>
      <c r="D1778" s="11"/>
      <c r="E1778" s="8" t="str">
        <f aca="false">IF($A1778="","",IF($B1778&lt;PlanDate,"Late",""))</f>
        <v/>
      </c>
    </row>
    <row r="1779" customFormat="false" ht="15" hidden="false" customHeight="false" outlineLevel="0" collapsed="false">
      <c r="A1779" s="11"/>
      <c r="B1779" s="6"/>
      <c r="C1779" s="11"/>
      <c r="D1779" s="11"/>
      <c r="E1779" s="8" t="str">
        <f aca="false">IF($A1779="","",IF($B1779&lt;PlanDate,"Late",""))</f>
        <v/>
      </c>
    </row>
    <row r="1780" customFormat="false" ht="15" hidden="false" customHeight="false" outlineLevel="0" collapsed="false">
      <c r="A1780" s="11"/>
      <c r="B1780" s="6"/>
      <c r="C1780" s="11"/>
      <c r="D1780" s="11"/>
      <c r="E1780" s="8" t="str">
        <f aca="false">IF($A1780="","",IF($B1780&lt;PlanDate,"Late",""))</f>
        <v/>
      </c>
    </row>
    <row r="1781" customFormat="false" ht="15" hidden="false" customHeight="false" outlineLevel="0" collapsed="false">
      <c r="A1781" s="11"/>
      <c r="B1781" s="6"/>
      <c r="C1781" s="11"/>
      <c r="D1781" s="11"/>
      <c r="E1781" s="8" t="str">
        <f aca="false">IF($A1781="","",IF($B1781&lt;PlanDate,"Late",""))</f>
        <v/>
      </c>
    </row>
    <row r="1782" customFormat="false" ht="15" hidden="false" customHeight="false" outlineLevel="0" collapsed="false">
      <c r="A1782" s="11"/>
      <c r="B1782" s="6"/>
      <c r="C1782" s="11"/>
      <c r="D1782" s="11"/>
      <c r="E1782" s="8" t="str">
        <f aca="false">IF($A1782="","",IF($B1782&lt;PlanDate,"Late",""))</f>
        <v/>
      </c>
    </row>
    <row r="1783" customFormat="false" ht="15" hidden="false" customHeight="false" outlineLevel="0" collapsed="false">
      <c r="A1783" s="11"/>
      <c r="B1783" s="6"/>
      <c r="C1783" s="11"/>
      <c r="D1783" s="11"/>
      <c r="E1783" s="8" t="str">
        <f aca="false">IF($A1783="","",IF($B1783&lt;PlanDate,"Late",""))</f>
        <v/>
      </c>
    </row>
    <row r="1784" customFormat="false" ht="15" hidden="false" customHeight="false" outlineLevel="0" collapsed="false">
      <c r="A1784" s="11"/>
      <c r="B1784" s="6"/>
      <c r="C1784" s="11"/>
      <c r="D1784" s="11"/>
      <c r="E1784" s="8" t="str">
        <f aca="false">IF($A1784="","",IF($B1784&lt;PlanDate,"Late",""))</f>
        <v/>
      </c>
    </row>
    <row r="1785" customFormat="false" ht="15" hidden="false" customHeight="false" outlineLevel="0" collapsed="false">
      <c r="A1785" s="11"/>
      <c r="B1785" s="6"/>
      <c r="C1785" s="11"/>
      <c r="D1785" s="11"/>
      <c r="E1785" s="8" t="str">
        <f aca="false">IF($A1785="","",IF($B1785&lt;PlanDate,"Late",""))</f>
        <v/>
      </c>
    </row>
    <row r="1786" customFormat="false" ht="15" hidden="false" customHeight="false" outlineLevel="0" collapsed="false">
      <c r="A1786" s="11"/>
      <c r="B1786" s="6"/>
      <c r="C1786" s="11"/>
      <c r="D1786" s="11"/>
      <c r="E1786" s="8" t="str">
        <f aca="false">IF($A1786="","",IF($B1786&lt;PlanDate,"Late",""))</f>
        <v/>
      </c>
    </row>
    <row r="1787" customFormat="false" ht="15" hidden="false" customHeight="false" outlineLevel="0" collapsed="false">
      <c r="A1787" s="11"/>
      <c r="B1787" s="6"/>
      <c r="C1787" s="11"/>
      <c r="D1787" s="11"/>
      <c r="E1787" s="8" t="str">
        <f aca="false">IF($A1787="","",IF($B1787&lt;PlanDate,"Late",""))</f>
        <v/>
      </c>
    </row>
    <row r="1788" customFormat="false" ht="15" hidden="false" customHeight="false" outlineLevel="0" collapsed="false">
      <c r="A1788" s="11"/>
      <c r="B1788" s="6"/>
      <c r="C1788" s="11"/>
      <c r="D1788" s="11"/>
      <c r="E1788" s="8" t="str">
        <f aca="false">IF($A1788="","",IF($B1788&lt;PlanDate,"Late",""))</f>
        <v/>
      </c>
    </row>
    <row r="1789" customFormat="false" ht="15" hidden="false" customHeight="false" outlineLevel="0" collapsed="false">
      <c r="A1789" s="11"/>
      <c r="B1789" s="6"/>
      <c r="C1789" s="11"/>
      <c r="D1789" s="11"/>
      <c r="E1789" s="8" t="str">
        <f aca="false">IF($A1789="","",IF($B1789&lt;PlanDate,"Late",""))</f>
        <v/>
      </c>
    </row>
    <row r="1790" customFormat="false" ht="15" hidden="false" customHeight="false" outlineLevel="0" collapsed="false">
      <c r="A1790" s="11"/>
      <c r="B1790" s="6"/>
      <c r="C1790" s="11"/>
      <c r="D1790" s="11"/>
      <c r="E1790" s="8" t="str">
        <f aca="false">IF($A1790="","",IF($B1790&lt;PlanDate,"Late",""))</f>
        <v/>
      </c>
    </row>
    <row r="1791" customFormat="false" ht="15" hidden="false" customHeight="false" outlineLevel="0" collapsed="false">
      <c r="A1791" s="11"/>
      <c r="B1791" s="6"/>
      <c r="C1791" s="11"/>
      <c r="D1791" s="11"/>
      <c r="E1791" s="8" t="str">
        <f aca="false">IF($A1791="","",IF($B1791&lt;PlanDate,"Late",""))</f>
        <v/>
      </c>
    </row>
    <row r="1792" customFormat="false" ht="15" hidden="false" customHeight="false" outlineLevel="0" collapsed="false">
      <c r="A1792" s="11"/>
      <c r="B1792" s="6"/>
      <c r="C1792" s="11"/>
      <c r="D1792" s="11"/>
      <c r="E1792" s="8" t="str">
        <f aca="false">IF($A1792="","",IF($B1792&lt;PlanDate,"Late",""))</f>
        <v/>
      </c>
    </row>
    <row r="1793" customFormat="false" ht="15" hidden="false" customHeight="false" outlineLevel="0" collapsed="false">
      <c r="A1793" s="11"/>
      <c r="B1793" s="6"/>
      <c r="C1793" s="11"/>
      <c r="D1793" s="11"/>
      <c r="E1793" s="8" t="str">
        <f aca="false">IF($A1793="","",IF($B1793&lt;PlanDate,"Late",""))</f>
        <v/>
      </c>
    </row>
    <row r="1794" customFormat="false" ht="15" hidden="false" customHeight="false" outlineLevel="0" collapsed="false">
      <c r="A1794" s="11"/>
      <c r="B1794" s="6"/>
      <c r="C1794" s="11"/>
      <c r="D1794" s="11"/>
      <c r="E1794" s="8" t="str">
        <f aca="false">IF($A1794="","",IF($B1794&lt;PlanDate,"Late",""))</f>
        <v/>
      </c>
    </row>
    <row r="1795" customFormat="false" ht="15" hidden="false" customHeight="false" outlineLevel="0" collapsed="false">
      <c r="A1795" s="11"/>
      <c r="B1795" s="6"/>
      <c r="C1795" s="11"/>
      <c r="D1795" s="11"/>
      <c r="E1795" s="8" t="str">
        <f aca="false">IF($A1795="","",IF($B1795&lt;PlanDate,"Late",""))</f>
        <v/>
      </c>
    </row>
    <row r="1796" customFormat="false" ht="15" hidden="false" customHeight="false" outlineLevel="0" collapsed="false">
      <c r="A1796" s="11"/>
      <c r="B1796" s="6"/>
      <c r="C1796" s="11"/>
      <c r="D1796" s="11"/>
      <c r="E1796" s="8" t="str">
        <f aca="false">IF($A1796="","",IF($B1796&lt;PlanDate,"Late",""))</f>
        <v/>
      </c>
    </row>
    <row r="1797" customFormat="false" ht="15" hidden="false" customHeight="false" outlineLevel="0" collapsed="false">
      <c r="A1797" s="11"/>
      <c r="B1797" s="6"/>
      <c r="C1797" s="11"/>
      <c r="D1797" s="11"/>
      <c r="E1797" s="8" t="str">
        <f aca="false">IF($A1797="","",IF($B1797&lt;PlanDate,"Late",""))</f>
        <v/>
      </c>
    </row>
    <row r="1798" customFormat="false" ht="15" hidden="false" customHeight="false" outlineLevel="0" collapsed="false">
      <c r="A1798" s="11"/>
      <c r="B1798" s="6"/>
      <c r="C1798" s="11"/>
      <c r="D1798" s="11"/>
      <c r="E1798" s="8" t="str">
        <f aca="false">IF($A1798="","",IF($B1798&lt;PlanDate,"Late",""))</f>
        <v/>
      </c>
    </row>
    <row r="1799" customFormat="false" ht="15" hidden="false" customHeight="false" outlineLevel="0" collapsed="false">
      <c r="A1799" s="11"/>
      <c r="B1799" s="6"/>
      <c r="C1799" s="11"/>
      <c r="D1799" s="11"/>
      <c r="E1799" s="8" t="str">
        <f aca="false">IF($A1799="","",IF($B1799&lt;PlanDate,"Late",""))</f>
        <v/>
      </c>
    </row>
    <row r="1800" customFormat="false" ht="15" hidden="false" customHeight="false" outlineLevel="0" collapsed="false">
      <c r="A1800" s="11"/>
      <c r="B1800" s="6"/>
      <c r="C1800" s="11"/>
      <c r="D1800" s="11"/>
      <c r="E1800" s="8" t="str">
        <f aca="false">IF($A1800="","",IF($B1800&lt;PlanDate,"Late",""))</f>
        <v/>
      </c>
    </row>
    <row r="1801" customFormat="false" ht="15" hidden="false" customHeight="false" outlineLevel="0" collapsed="false">
      <c r="A1801" s="11"/>
      <c r="B1801" s="6"/>
      <c r="C1801" s="11"/>
      <c r="D1801" s="11"/>
      <c r="E1801" s="8" t="str">
        <f aca="false">IF($A1801="","",IF($B1801&lt;PlanDate,"Late",""))</f>
        <v/>
      </c>
    </row>
    <row r="1802" customFormat="false" ht="15" hidden="false" customHeight="false" outlineLevel="0" collapsed="false">
      <c r="A1802" s="11"/>
      <c r="B1802" s="6"/>
      <c r="C1802" s="11"/>
      <c r="D1802" s="11"/>
      <c r="E1802" s="8" t="str">
        <f aca="false">IF($A1802="","",IF($B1802&lt;PlanDate,"Late",""))</f>
        <v/>
      </c>
    </row>
    <row r="1803" customFormat="false" ht="15" hidden="false" customHeight="false" outlineLevel="0" collapsed="false">
      <c r="A1803" s="11"/>
      <c r="B1803" s="6"/>
      <c r="C1803" s="11"/>
      <c r="D1803" s="11"/>
      <c r="E1803" s="8" t="str">
        <f aca="false">IF($A1803="","",IF($B1803&lt;PlanDate,"Late",""))</f>
        <v/>
      </c>
    </row>
    <row r="1804" customFormat="false" ht="15" hidden="false" customHeight="false" outlineLevel="0" collapsed="false">
      <c r="A1804" s="11"/>
      <c r="B1804" s="6"/>
      <c r="C1804" s="11"/>
      <c r="D1804" s="11"/>
      <c r="E1804" s="8" t="str">
        <f aca="false">IF($A1804="","",IF($B1804&lt;PlanDate,"Late",""))</f>
        <v/>
      </c>
    </row>
    <row r="1805" customFormat="false" ht="15" hidden="false" customHeight="false" outlineLevel="0" collapsed="false">
      <c r="A1805" s="11"/>
      <c r="B1805" s="6"/>
      <c r="C1805" s="11"/>
      <c r="D1805" s="11"/>
      <c r="E1805" s="8" t="str">
        <f aca="false">IF($A1805="","",IF($B1805&lt;PlanDate,"Late",""))</f>
        <v/>
      </c>
    </row>
    <row r="1806" customFormat="false" ht="15" hidden="false" customHeight="false" outlineLevel="0" collapsed="false">
      <c r="A1806" s="11"/>
      <c r="B1806" s="6"/>
      <c r="C1806" s="11"/>
      <c r="D1806" s="11"/>
      <c r="E1806" s="8" t="str">
        <f aca="false">IF($A1806="","",IF($B1806&lt;PlanDate,"Late",""))</f>
        <v/>
      </c>
    </row>
    <row r="1807" customFormat="false" ht="15" hidden="false" customHeight="false" outlineLevel="0" collapsed="false">
      <c r="A1807" s="11"/>
      <c r="B1807" s="6"/>
      <c r="C1807" s="11"/>
      <c r="D1807" s="11"/>
      <c r="E1807" s="8" t="str">
        <f aca="false">IF($A1807="","",IF($B1807&lt;PlanDate,"Late",""))</f>
        <v/>
      </c>
    </row>
    <row r="1808" customFormat="false" ht="15" hidden="false" customHeight="false" outlineLevel="0" collapsed="false">
      <c r="A1808" s="11"/>
      <c r="B1808" s="6"/>
      <c r="C1808" s="11"/>
      <c r="D1808" s="11"/>
      <c r="E1808" s="8" t="str">
        <f aca="false">IF($A1808="","",IF($B1808&lt;PlanDate,"Late",""))</f>
        <v/>
      </c>
    </row>
    <row r="1809" customFormat="false" ht="15" hidden="false" customHeight="false" outlineLevel="0" collapsed="false">
      <c r="A1809" s="11"/>
      <c r="B1809" s="6"/>
      <c r="C1809" s="11"/>
      <c r="D1809" s="11"/>
      <c r="E1809" s="8" t="str">
        <f aca="false">IF($A1809="","",IF($B1809&lt;PlanDate,"Late",""))</f>
        <v/>
      </c>
    </row>
    <row r="1810" customFormat="false" ht="15" hidden="false" customHeight="false" outlineLevel="0" collapsed="false">
      <c r="A1810" s="11"/>
      <c r="B1810" s="6"/>
      <c r="C1810" s="11"/>
      <c r="D1810" s="11"/>
      <c r="E1810" s="8" t="str">
        <f aca="false">IF($A1810="","",IF($B1810&lt;PlanDate,"Late",""))</f>
        <v/>
      </c>
    </row>
    <row r="1811" customFormat="false" ht="15" hidden="false" customHeight="false" outlineLevel="0" collapsed="false">
      <c r="A1811" s="11"/>
      <c r="B1811" s="6"/>
      <c r="C1811" s="11"/>
      <c r="D1811" s="11"/>
      <c r="E1811" s="8" t="str">
        <f aca="false">IF($A1811="","",IF($B1811&lt;PlanDate,"Late",""))</f>
        <v/>
      </c>
    </row>
    <row r="1812" customFormat="false" ht="15" hidden="false" customHeight="false" outlineLevel="0" collapsed="false">
      <c r="A1812" s="11"/>
      <c r="B1812" s="6"/>
      <c r="C1812" s="11"/>
      <c r="D1812" s="11"/>
      <c r="E1812" s="8" t="str">
        <f aca="false">IF($A1812="","",IF($B1812&lt;PlanDate,"Late",""))</f>
        <v/>
      </c>
    </row>
    <row r="1813" customFormat="false" ht="15" hidden="false" customHeight="false" outlineLevel="0" collapsed="false">
      <c r="A1813" s="11"/>
      <c r="B1813" s="6"/>
      <c r="C1813" s="11"/>
      <c r="D1813" s="11"/>
      <c r="E1813" s="8" t="str">
        <f aca="false">IF($A1813="","",IF($B1813&lt;PlanDate,"Late",""))</f>
        <v/>
      </c>
    </row>
    <row r="1814" customFormat="false" ht="15" hidden="false" customHeight="false" outlineLevel="0" collapsed="false">
      <c r="A1814" s="11"/>
      <c r="B1814" s="6"/>
      <c r="C1814" s="11"/>
      <c r="D1814" s="11"/>
      <c r="E1814" s="8" t="str">
        <f aca="false">IF($A1814="","",IF($B1814&lt;PlanDate,"Late",""))</f>
        <v/>
      </c>
    </row>
    <row r="1815" customFormat="false" ht="15" hidden="false" customHeight="false" outlineLevel="0" collapsed="false">
      <c r="A1815" s="11"/>
      <c r="B1815" s="6"/>
      <c r="C1815" s="11"/>
      <c r="D1815" s="11"/>
      <c r="E1815" s="8" t="str">
        <f aca="false">IF($A1815="","",IF($B1815&lt;PlanDate,"Late",""))</f>
        <v/>
      </c>
    </row>
    <row r="1816" customFormat="false" ht="15" hidden="false" customHeight="false" outlineLevel="0" collapsed="false">
      <c r="A1816" s="11"/>
      <c r="B1816" s="6"/>
      <c r="C1816" s="11"/>
      <c r="D1816" s="11"/>
      <c r="E1816" s="8" t="str">
        <f aca="false">IF($A1816="","",IF($B1816&lt;PlanDate,"Late",""))</f>
        <v/>
      </c>
    </row>
    <row r="1817" customFormat="false" ht="15" hidden="false" customHeight="false" outlineLevel="0" collapsed="false">
      <c r="A1817" s="11"/>
      <c r="B1817" s="6"/>
      <c r="C1817" s="11"/>
      <c r="D1817" s="11"/>
      <c r="E1817" s="8" t="str">
        <f aca="false">IF($A1817="","",IF($B1817&lt;PlanDate,"Late",""))</f>
        <v/>
      </c>
    </row>
    <row r="1818" customFormat="false" ht="15" hidden="false" customHeight="false" outlineLevel="0" collapsed="false">
      <c r="A1818" s="11"/>
      <c r="B1818" s="6"/>
      <c r="C1818" s="11"/>
      <c r="D1818" s="11"/>
      <c r="E1818" s="8" t="str">
        <f aca="false">IF($A1818="","",IF($B1818&lt;PlanDate,"Late",""))</f>
        <v/>
      </c>
    </row>
    <row r="1819" customFormat="false" ht="15" hidden="false" customHeight="false" outlineLevel="0" collapsed="false">
      <c r="A1819" s="11"/>
      <c r="B1819" s="6"/>
      <c r="C1819" s="11"/>
      <c r="D1819" s="11"/>
      <c r="E1819" s="8" t="str">
        <f aca="false">IF($A1819="","",IF($B1819&lt;PlanDate,"Late",""))</f>
        <v/>
      </c>
    </row>
    <row r="1820" customFormat="false" ht="15" hidden="false" customHeight="false" outlineLevel="0" collapsed="false">
      <c r="A1820" s="11"/>
      <c r="B1820" s="6"/>
      <c r="C1820" s="11"/>
      <c r="D1820" s="11"/>
      <c r="E1820" s="8" t="str">
        <f aca="false">IF($A1820="","",IF($B1820&lt;PlanDate,"Late",""))</f>
        <v/>
      </c>
    </row>
    <row r="1821" customFormat="false" ht="15" hidden="false" customHeight="false" outlineLevel="0" collapsed="false">
      <c r="A1821" s="11"/>
      <c r="B1821" s="6"/>
      <c r="C1821" s="11"/>
      <c r="D1821" s="11"/>
      <c r="E1821" s="8" t="str">
        <f aca="false">IF($A1821="","",IF($B1821&lt;PlanDate,"Late",""))</f>
        <v/>
      </c>
    </row>
    <row r="1822" customFormat="false" ht="15" hidden="false" customHeight="false" outlineLevel="0" collapsed="false">
      <c r="A1822" s="11"/>
      <c r="B1822" s="6"/>
      <c r="C1822" s="11"/>
      <c r="D1822" s="11"/>
      <c r="E1822" s="8" t="str">
        <f aca="false">IF($A1822="","",IF($B1822&lt;PlanDate,"Late",""))</f>
        <v/>
      </c>
    </row>
    <row r="1823" customFormat="false" ht="15" hidden="false" customHeight="false" outlineLevel="0" collapsed="false">
      <c r="A1823" s="11"/>
      <c r="B1823" s="6"/>
      <c r="C1823" s="11"/>
      <c r="D1823" s="11"/>
      <c r="E1823" s="8" t="str">
        <f aca="false">IF($A1823="","",IF($B1823&lt;PlanDate,"Late",""))</f>
        <v/>
      </c>
    </row>
    <row r="1824" customFormat="false" ht="15" hidden="false" customHeight="false" outlineLevel="0" collapsed="false">
      <c r="A1824" s="11"/>
      <c r="B1824" s="6"/>
      <c r="C1824" s="11"/>
      <c r="D1824" s="11"/>
      <c r="E1824" s="8" t="str">
        <f aca="false">IF($A1824="","",IF($B1824&lt;PlanDate,"Late",""))</f>
        <v/>
      </c>
    </row>
    <row r="1825" customFormat="false" ht="15" hidden="false" customHeight="false" outlineLevel="0" collapsed="false">
      <c r="A1825" s="11"/>
      <c r="B1825" s="6"/>
      <c r="C1825" s="11"/>
      <c r="D1825" s="11"/>
      <c r="E1825" s="8" t="str">
        <f aca="false">IF($A1825="","",IF($B1825&lt;PlanDate,"Late",""))</f>
        <v/>
      </c>
    </row>
    <row r="1826" customFormat="false" ht="15" hidden="false" customHeight="false" outlineLevel="0" collapsed="false">
      <c r="A1826" s="11"/>
      <c r="B1826" s="6"/>
      <c r="C1826" s="11"/>
      <c r="D1826" s="11"/>
      <c r="E1826" s="8" t="str">
        <f aca="false">IF($A1826="","",IF($B1826&lt;PlanDate,"Late",""))</f>
        <v/>
      </c>
    </row>
    <row r="1827" customFormat="false" ht="15" hidden="false" customHeight="false" outlineLevel="0" collapsed="false">
      <c r="A1827" s="11"/>
      <c r="B1827" s="6"/>
      <c r="C1827" s="11"/>
      <c r="D1827" s="11"/>
      <c r="E1827" s="8" t="str">
        <f aca="false">IF($A1827="","",IF($B1827&lt;PlanDate,"Late",""))</f>
        <v/>
      </c>
    </row>
    <row r="1828" customFormat="false" ht="15" hidden="false" customHeight="false" outlineLevel="0" collapsed="false">
      <c r="A1828" s="11"/>
      <c r="B1828" s="6"/>
      <c r="C1828" s="11"/>
      <c r="D1828" s="11"/>
      <c r="E1828" s="8" t="str">
        <f aca="false">IF($A1828="","",IF($B1828&lt;PlanDate,"Late",""))</f>
        <v/>
      </c>
    </row>
    <row r="1829" customFormat="false" ht="15" hidden="false" customHeight="false" outlineLevel="0" collapsed="false">
      <c r="A1829" s="11"/>
      <c r="B1829" s="6"/>
      <c r="C1829" s="11"/>
      <c r="D1829" s="11"/>
      <c r="E1829" s="8" t="str">
        <f aca="false">IF($A1829="","",IF($B1829&lt;PlanDate,"Late",""))</f>
        <v/>
      </c>
    </row>
    <row r="1830" customFormat="false" ht="15" hidden="false" customHeight="false" outlineLevel="0" collapsed="false">
      <c r="A1830" s="11"/>
      <c r="B1830" s="6"/>
      <c r="C1830" s="11"/>
      <c r="D1830" s="11"/>
      <c r="E1830" s="8" t="str">
        <f aca="false">IF($A1830="","",IF($B1830&lt;PlanDate,"Late",""))</f>
        <v/>
      </c>
    </row>
    <row r="1831" customFormat="false" ht="15" hidden="false" customHeight="false" outlineLevel="0" collapsed="false">
      <c r="A1831" s="11"/>
      <c r="B1831" s="6"/>
      <c r="C1831" s="11"/>
      <c r="D1831" s="11"/>
      <c r="E1831" s="8" t="str">
        <f aca="false">IF($A1831="","",IF($B1831&lt;PlanDate,"Late",""))</f>
        <v/>
      </c>
    </row>
    <row r="1832" customFormat="false" ht="15" hidden="false" customHeight="false" outlineLevel="0" collapsed="false">
      <c r="A1832" s="11"/>
      <c r="B1832" s="6"/>
      <c r="C1832" s="11"/>
      <c r="D1832" s="11"/>
      <c r="E1832" s="8" t="str">
        <f aca="false">IF($A1832="","",IF($B1832&lt;PlanDate,"Late",""))</f>
        <v/>
      </c>
    </row>
    <row r="1833" customFormat="false" ht="15" hidden="false" customHeight="false" outlineLevel="0" collapsed="false">
      <c r="A1833" s="11"/>
      <c r="B1833" s="6"/>
      <c r="C1833" s="11"/>
      <c r="D1833" s="11"/>
      <c r="E1833" s="8" t="str">
        <f aca="false">IF($A1833="","",IF($B1833&lt;PlanDate,"Late",""))</f>
        <v/>
      </c>
    </row>
    <row r="1834" customFormat="false" ht="15" hidden="false" customHeight="false" outlineLevel="0" collapsed="false">
      <c r="A1834" s="11"/>
      <c r="B1834" s="6"/>
      <c r="C1834" s="11"/>
      <c r="D1834" s="11"/>
      <c r="E1834" s="8" t="str">
        <f aca="false">IF($A1834="","",IF($B1834&lt;PlanDate,"Late",""))</f>
        <v/>
      </c>
    </row>
    <row r="1835" customFormat="false" ht="15" hidden="false" customHeight="false" outlineLevel="0" collapsed="false">
      <c r="A1835" s="11"/>
      <c r="B1835" s="6"/>
      <c r="C1835" s="11"/>
      <c r="D1835" s="11"/>
      <c r="E1835" s="8" t="str">
        <f aca="false">IF($A1835="","",IF($B1835&lt;PlanDate,"Late",""))</f>
        <v/>
      </c>
    </row>
    <row r="1836" customFormat="false" ht="15" hidden="false" customHeight="false" outlineLevel="0" collapsed="false">
      <c r="A1836" s="11"/>
      <c r="B1836" s="6"/>
      <c r="C1836" s="11"/>
      <c r="D1836" s="11"/>
      <c r="E1836" s="8" t="str">
        <f aca="false">IF($A1836="","",IF($B1836&lt;PlanDate,"Late",""))</f>
        <v/>
      </c>
    </row>
    <row r="1837" customFormat="false" ht="15" hidden="false" customHeight="false" outlineLevel="0" collapsed="false">
      <c r="A1837" s="11"/>
      <c r="B1837" s="6"/>
      <c r="C1837" s="11"/>
      <c r="D1837" s="11"/>
      <c r="E1837" s="8" t="str">
        <f aca="false">IF($A1837="","",IF($B1837&lt;PlanDate,"Late",""))</f>
        <v/>
      </c>
    </row>
    <row r="1838" customFormat="false" ht="15" hidden="false" customHeight="false" outlineLevel="0" collapsed="false">
      <c r="A1838" s="11"/>
      <c r="B1838" s="6"/>
      <c r="C1838" s="11"/>
      <c r="D1838" s="11"/>
      <c r="E1838" s="8" t="str">
        <f aca="false">IF($A1838="","",IF($B1838&lt;PlanDate,"Late",""))</f>
        <v/>
      </c>
    </row>
    <row r="1839" customFormat="false" ht="15" hidden="false" customHeight="false" outlineLevel="0" collapsed="false">
      <c r="A1839" s="11"/>
      <c r="B1839" s="6"/>
      <c r="C1839" s="11"/>
      <c r="D1839" s="11"/>
      <c r="E1839" s="8" t="str">
        <f aca="false">IF($A1839="","",IF($B1839&lt;PlanDate,"Late",""))</f>
        <v/>
      </c>
    </row>
    <row r="1840" customFormat="false" ht="15" hidden="false" customHeight="false" outlineLevel="0" collapsed="false">
      <c r="A1840" s="11"/>
      <c r="B1840" s="6"/>
      <c r="C1840" s="11"/>
      <c r="D1840" s="11"/>
      <c r="E1840" s="8" t="str">
        <f aca="false">IF($A1840="","",IF($B1840&lt;PlanDate,"Late",""))</f>
        <v/>
      </c>
    </row>
    <row r="1841" customFormat="false" ht="15" hidden="false" customHeight="false" outlineLevel="0" collapsed="false">
      <c r="A1841" s="11"/>
      <c r="B1841" s="6"/>
      <c r="C1841" s="11"/>
      <c r="D1841" s="11"/>
      <c r="E1841" s="8" t="str">
        <f aca="false">IF($A1841="","",IF($B1841&lt;PlanDate,"Late",""))</f>
        <v/>
      </c>
    </row>
    <row r="1842" customFormat="false" ht="15" hidden="false" customHeight="false" outlineLevel="0" collapsed="false">
      <c r="A1842" s="11"/>
      <c r="B1842" s="6"/>
      <c r="C1842" s="11"/>
      <c r="D1842" s="11"/>
      <c r="E1842" s="8" t="str">
        <f aca="false">IF($A1842="","",IF($B1842&lt;PlanDate,"Late",""))</f>
        <v/>
      </c>
    </row>
    <row r="1843" customFormat="false" ht="15" hidden="false" customHeight="false" outlineLevel="0" collapsed="false">
      <c r="A1843" s="11"/>
      <c r="B1843" s="6"/>
      <c r="C1843" s="11"/>
      <c r="D1843" s="11"/>
      <c r="E1843" s="8" t="str">
        <f aca="false">IF($A1843="","",IF($B1843&lt;PlanDate,"Late",""))</f>
        <v/>
      </c>
    </row>
    <row r="1844" customFormat="false" ht="15" hidden="false" customHeight="false" outlineLevel="0" collapsed="false">
      <c r="A1844" s="11"/>
      <c r="B1844" s="6"/>
      <c r="C1844" s="11"/>
      <c r="D1844" s="11"/>
      <c r="E1844" s="8" t="str">
        <f aca="false">IF($A1844="","",IF($B1844&lt;PlanDate,"Late",""))</f>
        <v/>
      </c>
    </row>
    <row r="1845" customFormat="false" ht="15" hidden="false" customHeight="false" outlineLevel="0" collapsed="false">
      <c r="A1845" s="11"/>
      <c r="B1845" s="6"/>
      <c r="C1845" s="11"/>
      <c r="D1845" s="11"/>
      <c r="E1845" s="8" t="str">
        <f aca="false">IF($A1845="","",IF($B1845&lt;PlanDate,"Late",""))</f>
        <v/>
      </c>
    </row>
    <row r="1846" customFormat="false" ht="15" hidden="false" customHeight="false" outlineLevel="0" collapsed="false">
      <c r="A1846" s="11"/>
      <c r="B1846" s="6"/>
      <c r="C1846" s="11"/>
      <c r="D1846" s="11"/>
      <c r="E1846" s="8" t="str">
        <f aca="false">IF($A1846="","",IF($B1846&lt;PlanDate,"Late",""))</f>
        <v/>
      </c>
    </row>
    <row r="1847" customFormat="false" ht="15" hidden="false" customHeight="false" outlineLevel="0" collapsed="false">
      <c r="A1847" s="11"/>
      <c r="B1847" s="6"/>
      <c r="C1847" s="11"/>
      <c r="D1847" s="11"/>
      <c r="E1847" s="8" t="str">
        <f aca="false">IF($A1847="","",IF($B1847&lt;PlanDate,"Late",""))</f>
        <v/>
      </c>
    </row>
    <row r="1848" customFormat="false" ht="15" hidden="false" customHeight="false" outlineLevel="0" collapsed="false">
      <c r="A1848" s="11"/>
      <c r="B1848" s="6"/>
      <c r="C1848" s="11"/>
      <c r="D1848" s="11"/>
      <c r="E1848" s="8" t="str">
        <f aca="false">IF($A1848="","",IF($B1848&lt;PlanDate,"Late",""))</f>
        <v/>
      </c>
    </row>
    <row r="1849" customFormat="false" ht="15" hidden="false" customHeight="false" outlineLevel="0" collapsed="false">
      <c r="A1849" s="11"/>
      <c r="B1849" s="6"/>
      <c r="C1849" s="11"/>
      <c r="D1849" s="11"/>
      <c r="E1849" s="8" t="str">
        <f aca="false">IF($A1849="","",IF($B1849&lt;PlanDate,"Late",""))</f>
        <v/>
      </c>
    </row>
    <row r="1850" customFormat="false" ht="15" hidden="false" customHeight="false" outlineLevel="0" collapsed="false">
      <c r="A1850" s="11"/>
      <c r="B1850" s="6"/>
      <c r="C1850" s="11"/>
      <c r="D1850" s="11"/>
      <c r="E1850" s="8" t="str">
        <f aca="false">IF($A1850="","",IF($B1850&lt;PlanDate,"Late",""))</f>
        <v/>
      </c>
    </row>
    <row r="1851" customFormat="false" ht="15" hidden="false" customHeight="false" outlineLevel="0" collapsed="false">
      <c r="A1851" s="11"/>
      <c r="B1851" s="6"/>
      <c r="C1851" s="11"/>
      <c r="D1851" s="11"/>
      <c r="E1851" s="8" t="str">
        <f aca="false">IF($A1851="","",IF($B1851&lt;PlanDate,"Late",""))</f>
        <v/>
      </c>
    </row>
    <row r="1852" customFormat="false" ht="15" hidden="false" customHeight="false" outlineLevel="0" collapsed="false">
      <c r="A1852" s="11"/>
      <c r="B1852" s="6"/>
      <c r="C1852" s="11"/>
      <c r="D1852" s="11"/>
      <c r="E1852" s="8" t="str">
        <f aca="false">IF($A1852="","",IF($B1852&lt;PlanDate,"Late",""))</f>
        <v/>
      </c>
    </row>
    <row r="1853" customFormat="false" ht="15" hidden="false" customHeight="false" outlineLevel="0" collapsed="false">
      <c r="A1853" s="11"/>
      <c r="B1853" s="6"/>
      <c r="C1853" s="11"/>
      <c r="D1853" s="11"/>
      <c r="E1853" s="8" t="str">
        <f aca="false">IF($A1853="","",IF($B1853&lt;PlanDate,"Late",""))</f>
        <v/>
      </c>
    </row>
    <row r="1854" customFormat="false" ht="15" hidden="false" customHeight="false" outlineLevel="0" collapsed="false">
      <c r="A1854" s="11"/>
      <c r="B1854" s="6"/>
      <c r="C1854" s="11"/>
      <c r="D1854" s="11"/>
      <c r="E1854" s="8" t="str">
        <f aca="false">IF($A1854="","",IF($B1854&lt;PlanDate,"Late",""))</f>
        <v/>
      </c>
    </row>
    <row r="1855" customFormat="false" ht="15" hidden="false" customHeight="false" outlineLevel="0" collapsed="false">
      <c r="A1855" s="11"/>
      <c r="B1855" s="6"/>
      <c r="C1855" s="11"/>
      <c r="D1855" s="11"/>
      <c r="E1855" s="8" t="str">
        <f aca="false">IF($A1855="","",IF($B1855&lt;PlanDate,"Late",""))</f>
        <v/>
      </c>
    </row>
    <row r="1856" customFormat="false" ht="15" hidden="false" customHeight="false" outlineLevel="0" collapsed="false">
      <c r="A1856" s="11"/>
      <c r="B1856" s="6"/>
      <c r="C1856" s="11"/>
      <c r="D1856" s="11"/>
      <c r="E1856" s="8" t="str">
        <f aca="false">IF($A1856="","",IF($B1856&lt;PlanDate,"Late",""))</f>
        <v/>
      </c>
    </row>
    <row r="1857" customFormat="false" ht="15" hidden="false" customHeight="false" outlineLevel="0" collapsed="false">
      <c r="A1857" s="11"/>
      <c r="B1857" s="6"/>
      <c r="C1857" s="11"/>
      <c r="D1857" s="11"/>
      <c r="E1857" s="8" t="str">
        <f aca="false">IF($A1857="","",IF($B1857&lt;PlanDate,"Late",""))</f>
        <v/>
      </c>
    </row>
    <row r="1858" customFormat="false" ht="15" hidden="false" customHeight="false" outlineLevel="0" collapsed="false">
      <c r="A1858" s="11"/>
      <c r="B1858" s="6"/>
      <c r="C1858" s="11"/>
      <c r="D1858" s="11"/>
      <c r="E1858" s="8" t="str">
        <f aca="false">IF($A1858="","",IF($B1858&lt;PlanDate,"Late",""))</f>
        <v/>
      </c>
    </row>
    <row r="1859" customFormat="false" ht="15" hidden="false" customHeight="false" outlineLevel="0" collapsed="false">
      <c r="A1859" s="11"/>
      <c r="B1859" s="6"/>
      <c r="C1859" s="11"/>
      <c r="D1859" s="11"/>
      <c r="E1859" s="8" t="str">
        <f aca="false">IF($A1859="","",IF($B1859&lt;PlanDate,"Late",""))</f>
        <v/>
      </c>
    </row>
    <row r="1860" customFormat="false" ht="15" hidden="false" customHeight="false" outlineLevel="0" collapsed="false">
      <c r="A1860" s="11"/>
      <c r="B1860" s="6"/>
      <c r="C1860" s="11"/>
      <c r="D1860" s="11"/>
      <c r="E1860" s="8" t="str">
        <f aca="false">IF($A1860="","",IF($B1860&lt;PlanDate,"Late",""))</f>
        <v/>
      </c>
    </row>
    <row r="1861" customFormat="false" ht="15" hidden="false" customHeight="false" outlineLevel="0" collapsed="false">
      <c r="A1861" s="11"/>
      <c r="B1861" s="6"/>
      <c r="C1861" s="11"/>
      <c r="D1861" s="11"/>
      <c r="E1861" s="8" t="str">
        <f aca="false">IF($A1861="","",IF($B1861&lt;PlanDate,"Late",""))</f>
        <v/>
      </c>
    </row>
    <row r="1862" customFormat="false" ht="15" hidden="false" customHeight="false" outlineLevel="0" collapsed="false">
      <c r="A1862" s="11"/>
      <c r="B1862" s="6"/>
      <c r="C1862" s="11"/>
      <c r="D1862" s="11"/>
      <c r="E1862" s="8" t="str">
        <f aca="false">IF($A1862="","",IF($B1862&lt;PlanDate,"Late",""))</f>
        <v/>
      </c>
    </row>
    <row r="1863" customFormat="false" ht="15" hidden="false" customHeight="false" outlineLevel="0" collapsed="false">
      <c r="A1863" s="11"/>
      <c r="B1863" s="6"/>
      <c r="C1863" s="11"/>
      <c r="D1863" s="11"/>
      <c r="E1863" s="8" t="str">
        <f aca="false">IF($A1863="","",IF($B1863&lt;PlanDate,"Late",""))</f>
        <v/>
      </c>
    </row>
    <row r="1864" customFormat="false" ht="15" hidden="false" customHeight="false" outlineLevel="0" collapsed="false">
      <c r="A1864" s="11"/>
      <c r="B1864" s="6"/>
      <c r="C1864" s="11"/>
      <c r="D1864" s="11"/>
      <c r="E1864" s="8" t="str">
        <f aca="false">IF($A1864="","",IF($B1864&lt;PlanDate,"Late",""))</f>
        <v/>
      </c>
    </row>
    <row r="1865" customFormat="false" ht="15" hidden="false" customHeight="false" outlineLevel="0" collapsed="false">
      <c r="A1865" s="11"/>
      <c r="B1865" s="6"/>
      <c r="C1865" s="11"/>
      <c r="D1865" s="11"/>
      <c r="E1865" s="8" t="str">
        <f aca="false">IF($A1865="","",IF($B1865&lt;PlanDate,"Late",""))</f>
        <v/>
      </c>
    </row>
    <row r="1866" customFormat="false" ht="15" hidden="false" customHeight="false" outlineLevel="0" collapsed="false">
      <c r="A1866" s="11"/>
      <c r="B1866" s="6"/>
      <c r="C1866" s="11"/>
      <c r="D1866" s="11"/>
      <c r="E1866" s="8" t="str">
        <f aca="false">IF($A1866="","",IF($B1866&lt;PlanDate,"Late",""))</f>
        <v/>
      </c>
    </row>
    <row r="1867" customFormat="false" ht="15" hidden="false" customHeight="false" outlineLevel="0" collapsed="false">
      <c r="A1867" s="11"/>
      <c r="B1867" s="6"/>
      <c r="C1867" s="11"/>
      <c r="D1867" s="11"/>
      <c r="E1867" s="8" t="str">
        <f aca="false">IF($A1867="","",IF($B1867&lt;PlanDate,"Late",""))</f>
        <v/>
      </c>
    </row>
    <row r="1868" customFormat="false" ht="15" hidden="false" customHeight="false" outlineLevel="0" collapsed="false">
      <c r="A1868" s="11"/>
      <c r="B1868" s="6"/>
      <c r="C1868" s="11"/>
      <c r="D1868" s="11"/>
      <c r="E1868" s="8" t="str">
        <f aca="false">IF($A1868="","",IF($B1868&lt;PlanDate,"Late",""))</f>
        <v/>
      </c>
    </row>
    <row r="1869" customFormat="false" ht="15" hidden="false" customHeight="false" outlineLevel="0" collapsed="false">
      <c r="A1869" s="11"/>
      <c r="B1869" s="6"/>
      <c r="C1869" s="11"/>
      <c r="D1869" s="11"/>
      <c r="E1869" s="8" t="str">
        <f aca="false">IF($A1869="","",IF($B1869&lt;PlanDate,"Late",""))</f>
        <v/>
      </c>
    </row>
    <row r="1870" customFormat="false" ht="15" hidden="false" customHeight="false" outlineLevel="0" collapsed="false">
      <c r="A1870" s="11"/>
      <c r="B1870" s="6"/>
      <c r="C1870" s="11"/>
      <c r="D1870" s="11"/>
      <c r="E1870" s="8" t="str">
        <f aca="false">IF($A1870="","",IF($B1870&lt;PlanDate,"Late",""))</f>
        <v/>
      </c>
    </row>
    <row r="1871" customFormat="false" ht="15" hidden="false" customHeight="false" outlineLevel="0" collapsed="false">
      <c r="A1871" s="11"/>
      <c r="B1871" s="6"/>
      <c r="C1871" s="11"/>
      <c r="D1871" s="11"/>
      <c r="E1871" s="8" t="str">
        <f aca="false">IF($A1871="","",IF($B1871&lt;PlanDate,"Late",""))</f>
        <v/>
      </c>
    </row>
    <row r="1872" customFormat="false" ht="15" hidden="false" customHeight="false" outlineLevel="0" collapsed="false">
      <c r="A1872" s="11"/>
      <c r="B1872" s="6"/>
      <c r="C1872" s="11"/>
      <c r="D1872" s="11"/>
      <c r="E1872" s="8" t="str">
        <f aca="false">IF($A1872="","",IF($B1872&lt;PlanDate,"Late",""))</f>
        <v/>
      </c>
    </row>
    <row r="1873" customFormat="false" ht="15" hidden="false" customHeight="false" outlineLevel="0" collapsed="false">
      <c r="A1873" s="11"/>
      <c r="B1873" s="6"/>
      <c r="C1873" s="11"/>
      <c r="D1873" s="11"/>
      <c r="E1873" s="8" t="str">
        <f aca="false">IF($A1873="","",IF($B1873&lt;PlanDate,"Late",""))</f>
        <v/>
      </c>
    </row>
    <row r="1874" customFormat="false" ht="15" hidden="false" customHeight="false" outlineLevel="0" collapsed="false">
      <c r="A1874" s="11"/>
      <c r="B1874" s="6"/>
      <c r="C1874" s="11"/>
      <c r="D1874" s="11"/>
      <c r="E1874" s="8" t="str">
        <f aca="false">IF($A1874="","",IF($B1874&lt;PlanDate,"Late",""))</f>
        <v/>
      </c>
    </row>
    <row r="1875" customFormat="false" ht="15" hidden="false" customHeight="false" outlineLevel="0" collapsed="false">
      <c r="A1875" s="11"/>
      <c r="B1875" s="6"/>
      <c r="C1875" s="11"/>
      <c r="D1875" s="11"/>
      <c r="E1875" s="8" t="str">
        <f aca="false">IF($A1875="","",IF($B1875&lt;PlanDate,"Late",""))</f>
        <v/>
      </c>
    </row>
    <row r="1876" customFormat="false" ht="15" hidden="false" customHeight="false" outlineLevel="0" collapsed="false">
      <c r="A1876" s="11"/>
      <c r="B1876" s="6"/>
      <c r="C1876" s="11"/>
      <c r="D1876" s="11"/>
      <c r="E1876" s="8" t="str">
        <f aca="false">IF($A1876="","",IF($B1876&lt;PlanDate,"Late",""))</f>
        <v/>
      </c>
    </row>
    <row r="1877" customFormat="false" ht="15" hidden="false" customHeight="false" outlineLevel="0" collapsed="false">
      <c r="A1877" s="11"/>
      <c r="B1877" s="6"/>
      <c r="C1877" s="11"/>
      <c r="D1877" s="11"/>
      <c r="E1877" s="8" t="str">
        <f aca="false">IF($A1877="","",IF($B1877&lt;PlanDate,"Late",""))</f>
        <v/>
      </c>
    </row>
    <row r="1878" customFormat="false" ht="15" hidden="false" customHeight="false" outlineLevel="0" collapsed="false">
      <c r="A1878" s="11"/>
      <c r="B1878" s="6"/>
      <c r="C1878" s="11"/>
      <c r="D1878" s="11"/>
      <c r="E1878" s="8" t="str">
        <f aca="false">IF($A1878="","",IF($B1878&lt;PlanDate,"Late",""))</f>
        <v/>
      </c>
    </row>
    <row r="1879" customFormat="false" ht="15" hidden="false" customHeight="false" outlineLevel="0" collapsed="false">
      <c r="A1879" s="11"/>
      <c r="B1879" s="6"/>
      <c r="C1879" s="11"/>
      <c r="D1879" s="11"/>
      <c r="E1879" s="8" t="str">
        <f aca="false">IF($A1879="","",IF($B1879&lt;PlanDate,"Late",""))</f>
        <v/>
      </c>
    </row>
    <row r="1880" customFormat="false" ht="15" hidden="false" customHeight="false" outlineLevel="0" collapsed="false">
      <c r="A1880" s="11"/>
      <c r="B1880" s="6"/>
      <c r="C1880" s="11"/>
      <c r="D1880" s="11"/>
      <c r="E1880" s="8" t="str">
        <f aca="false">IF($A1880="","",IF($B1880&lt;PlanDate,"Late",""))</f>
        <v/>
      </c>
    </row>
    <row r="1881" customFormat="false" ht="15" hidden="false" customHeight="false" outlineLevel="0" collapsed="false">
      <c r="A1881" s="11"/>
      <c r="B1881" s="6"/>
      <c r="C1881" s="11"/>
      <c r="D1881" s="11"/>
      <c r="E1881" s="8" t="str">
        <f aca="false">IF($A1881="","",IF($B1881&lt;PlanDate,"Late",""))</f>
        <v/>
      </c>
    </row>
    <row r="1882" customFormat="false" ht="15" hidden="false" customHeight="false" outlineLevel="0" collapsed="false">
      <c r="A1882" s="11"/>
      <c r="B1882" s="6"/>
      <c r="C1882" s="11"/>
      <c r="D1882" s="11"/>
      <c r="E1882" s="8" t="str">
        <f aca="false">IF($A1882="","",IF($B1882&lt;PlanDate,"Late",""))</f>
        <v/>
      </c>
    </row>
    <row r="1883" customFormat="false" ht="15" hidden="false" customHeight="false" outlineLevel="0" collapsed="false">
      <c r="A1883" s="11"/>
      <c r="B1883" s="6"/>
      <c r="C1883" s="11"/>
      <c r="D1883" s="11"/>
      <c r="E1883" s="8" t="str">
        <f aca="false">IF($A1883="","",IF($B1883&lt;PlanDate,"Late",""))</f>
        <v/>
      </c>
    </row>
    <row r="1884" customFormat="false" ht="15" hidden="false" customHeight="false" outlineLevel="0" collapsed="false">
      <c r="A1884" s="11"/>
      <c r="B1884" s="6"/>
      <c r="C1884" s="11"/>
      <c r="D1884" s="11"/>
      <c r="E1884" s="8" t="str">
        <f aca="false">IF($A1884="","",IF($B1884&lt;PlanDate,"Late",""))</f>
        <v/>
      </c>
    </row>
    <row r="1885" customFormat="false" ht="15" hidden="false" customHeight="false" outlineLevel="0" collapsed="false">
      <c r="A1885" s="11"/>
      <c r="B1885" s="6"/>
      <c r="C1885" s="11"/>
      <c r="D1885" s="11"/>
      <c r="E1885" s="8" t="str">
        <f aca="false">IF($A1885="","",IF($B1885&lt;PlanDate,"Late",""))</f>
        <v/>
      </c>
    </row>
    <row r="1886" customFormat="false" ht="15" hidden="false" customHeight="false" outlineLevel="0" collapsed="false">
      <c r="A1886" s="11"/>
      <c r="B1886" s="6"/>
      <c r="C1886" s="11"/>
      <c r="D1886" s="11"/>
      <c r="E1886" s="8" t="str">
        <f aca="false">IF($A1886="","",IF($B1886&lt;PlanDate,"Late",""))</f>
        <v/>
      </c>
    </row>
    <row r="1887" customFormat="false" ht="15" hidden="false" customHeight="false" outlineLevel="0" collapsed="false">
      <c r="A1887" s="11"/>
      <c r="B1887" s="6"/>
      <c r="C1887" s="11"/>
      <c r="D1887" s="11"/>
      <c r="E1887" s="8" t="str">
        <f aca="false">IF($A1887="","",IF($B1887&lt;PlanDate,"Late",""))</f>
        <v/>
      </c>
    </row>
    <row r="1888" customFormat="false" ht="15" hidden="false" customHeight="false" outlineLevel="0" collapsed="false">
      <c r="A1888" s="11"/>
      <c r="B1888" s="6"/>
      <c r="C1888" s="11"/>
      <c r="D1888" s="11"/>
      <c r="E1888" s="8" t="str">
        <f aca="false">IF($A1888="","",IF($B1888&lt;PlanDate,"Late",""))</f>
        <v/>
      </c>
    </row>
    <row r="1889" customFormat="false" ht="15" hidden="false" customHeight="false" outlineLevel="0" collapsed="false">
      <c r="A1889" s="11"/>
      <c r="B1889" s="6"/>
      <c r="C1889" s="11"/>
      <c r="D1889" s="11"/>
      <c r="E1889" s="8" t="str">
        <f aca="false">IF($A1889="","",IF($B1889&lt;PlanDate,"Late",""))</f>
        <v/>
      </c>
    </row>
    <row r="1890" customFormat="false" ht="15" hidden="false" customHeight="false" outlineLevel="0" collapsed="false">
      <c r="A1890" s="11"/>
      <c r="B1890" s="6"/>
      <c r="C1890" s="11"/>
      <c r="D1890" s="11"/>
      <c r="E1890" s="8" t="str">
        <f aca="false">IF($A1890="","",IF($B1890&lt;PlanDate,"Late",""))</f>
        <v/>
      </c>
    </row>
    <row r="1891" customFormat="false" ht="15" hidden="false" customHeight="false" outlineLevel="0" collapsed="false">
      <c r="A1891" s="11"/>
      <c r="B1891" s="6"/>
      <c r="C1891" s="11"/>
      <c r="D1891" s="11"/>
      <c r="E1891" s="8" t="str">
        <f aca="false">IF($A1891="","",IF($B1891&lt;PlanDate,"Late",""))</f>
        <v/>
      </c>
    </row>
    <row r="1892" customFormat="false" ht="15" hidden="false" customHeight="false" outlineLevel="0" collapsed="false">
      <c r="A1892" s="11"/>
      <c r="B1892" s="6"/>
      <c r="C1892" s="11"/>
      <c r="D1892" s="11"/>
      <c r="E1892" s="8" t="str">
        <f aca="false">IF($A1892="","",IF($B1892&lt;PlanDate,"Late",""))</f>
        <v/>
      </c>
    </row>
    <row r="1893" customFormat="false" ht="15" hidden="false" customHeight="false" outlineLevel="0" collapsed="false">
      <c r="A1893" s="11"/>
      <c r="B1893" s="6"/>
      <c r="C1893" s="11"/>
      <c r="D1893" s="11"/>
      <c r="E1893" s="8" t="str">
        <f aca="false">IF($A1893="","",IF($B1893&lt;PlanDate,"Late",""))</f>
        <v/>
      </c>
    </row>
    <row r="1894" customFormat="false" ht="15" hidden="false" customHeight="false" outlineLevel="0" collapsed="false">
      <c r="A1894" s="11"/>
      <c r="B1894" s="6"/>
      <c r="C1894" s="11"/>
      <c r="D1894" s="11"/>
      <c r="E1894" s="8" t="str">
        <f aca="false">IF($A1894="","",IF($B1894&lt;PlanDate,"Late",""))</f>
        <v/>
      </c>
    </row>
    <row r="1895" customFormat="false" ht="15" hidden="false" customHeight="false" outlineLevel="0" collapsed="false">
      <c r="A1895" s="11"/>
      <c r="B1895" s="6"/>
      <c r="C1895" s="11"/>
      <c r="D1895" s="11"/>
      <c r="E1895" s="8" t="str">
        <f aca="false">IF($A1895="","",IF($B1895&lt;PlanDate,"Late",""))</f>
        <v/>
      </c>
    </row>
    <row r="1896" customFormat="false" ht="15" hidden="false" customHeight="false" outlineLevel="0" collapsed="false">
      <c r="A1896" s="11"/>
      <c r="B1896" s="6"/>
      <c r="C1896" s="11"/>
      <c r="D1896" s="11"/>
      <c r="E1896" s="8" t="str">
        <f aca="false">IF($A1896="","",IF($B1896&lt;PlanDate,"Late",""))</f>
        <v/>
      </c>
    </row>
    <row r="1897" customFormat="false" ht="15" hidden="false" customHeight="false" outlineLevel="0" collapsed="false">
      <c r="A1897" s="11"/>
      <c r="B1897" s="6"/>
      <c r="C1897" s="11"/>
      <c r="D1897" s="11"/>
      <c r="E1897" s="8" t="str">
        <f aca="false">IF($A1897="","",IF($B1897&lt;PlanDate,"Late",""))</f>
        <v/>
      </c>
    </row>
    <row r="1898" customFormat="false" ht="15" hidden="false" customHeight="false" outlineLevel="0" collapsed="false">
      <c r="A1898" s="11"/>
      <c r="B1898" s="6"/>
      <c r="C1898" s="11"/>
      <c r="D1898" s="11"/>
      <c r="E1898" s="8" t="str">
        <f aca="false">IF($A1898="","",IF($B1898&lt;PlanDate,"Late",""))</f>
        <v/>
      </c>
    </row>
    <row r="1899" customFormat="false" ht="15" hidden="false" customHeight="false" outlineLevel="0" collapsed="false">
      <c r="A1899" s="11"/>
      <c r="B1899" s="6"/>
      <c r="C1899" s="11"/>
      <c r="D1899" s="11"/>
      <c r="E1899" s="8" t="str">
        <f aca="false">IF($A1899="","",IF($B1899&lt;PlanDate,"Late",""))</f>
        <v/>
      </c>
    </row>
    <row r="1900" customFormat="false" ht="15" hidden="false" customHeight="false" outlineLevel="0" collapsed="false">
      <c r="A1900" s="11"/>
      <c r="B1900" s="6"/>
      <c r="C1900" s="11"/>
      <c r="D1900" s="11"/>
      <c r="E1900" s="8" t="str">
        <f aca="false">IF($A1900="","",IF($B1900&lt;PlanDate,"Late",""))</f>
        <v/>
      </c>
    </row>
    <row r="1901" customFormat="false" ht="15" hidden="false" customHeight="false" outlineLevel="0" collapsed="false">
      <c r="A1901" s="11"/>
      <c r="B1901" s="6"/>
      <c r="C1901" s="11"/>
      <c r="D1901" s="11"/>
      <c r="E1901" s="8" t="str">
        <f aca="false">IF($A1901="","",IF($B1901&lt;PlanDate,"Late",""))</f>
        <v/>
      </c>
    </row>
    <row r="1902" customFormat="false" ht="15" hidden="false" customHeight="false" outlineLevel="0" collapsed="false">
      <c r="A1902" s="11"/>
      <c r="B1902" s="6"/>
      <c r="C1902" s="11"/>
      <c r="D1902" s="11"/>
      <c r="E1902" s="8" t="str">
        <f aca="false">IF($A1902="","",IF($B1902&lt;PlanDate,"Late",""))</f>
        <v/>
      </c>
    </row>
    <row r="1903" customFormat="false" ht="15" hidden="false" customHeight="false" outlineLevel="0" collapsed="false">
      <c r="A1903" s="11"/>
      <c r="B1903" s="6"/>
      <c r="C1903" s="11"/>
      <c r="D1903" s="11"/>
      <c r="E1903" s="8" t="str">
        <f aca="false">IF($A1903="","",IF($B1903&lt;PlanDate,"Late",""))</f>
        <v/>
      </c>
    </row>
    <row r="1904" customFormat="false" ht="15" hidden="false" customHeight="false" outlineLevel="0" collapsed="false">
      <c r="A1904" s="11"/>
      <c r="B1904" s="6"/>
      <c r="C1904" s="11"/>
      <c r="D1904" s="11"/>
      <c r="E1904" s="8" t="str">
        <f aca="false">IF($A1904="","",IF($B1904&lt;PlanDate,"Late",""))</f>
        <v/>
      </c>
    </row>
    <row r="1905" customFormat="false" ht="15" hidden="false" customHeight="false" outlineLevel="0" collapsed="false">
      <c r="A1905" s="11"/>
      <c r="B1905" s="6"/>
      <c r="C1905" s="11"/>
      <c r="D1905" s="11"/>
      <c r="E1905" s="8" t="str">
        <f aca="false">IF($A1905="","",IF($B1905&lt;PlanDate,"Late",""))</f>
        <v/>
      </c>
    </row>
    <row r="1906" customFormat="false" ht="15" hidden="false" customHeight="false" outlineLevel="0" collapsed="false">
      <c r="A1906" s="11"/>
      <c r="B1906" s="6"/>
      <c r="C1906" s="11"/>
      <c r="D1906" s="11"/>
      <c r="E1906" s="8" t="str">
        <f aca="false">IF($A1906="","",IF($B1906&lt;PlanDate,"Late",""))</f>
        <v/>
      </c>
    </row>
    <row r="1907" customFormat="false" ht="15" hidden="false" customHeight="false" outlineLevel="0" collapsed="false">
      <c r="A1907" s="11"/>
      <c r="B1907" s="6"/>
      <c r="C1907" s="11"/>
      <c r="D1907" s="11"/>
      <c r="E1907" s="8" t="str">
        <f aca="false">IF($A1907="","",IF($B1907&lt;PlanDate,"Late",""))</f>
        <v/>
      </c>
    </row>
    <row r="1908" customFormat="false" ht="15" hidden="false" customHeight="false" outlineLevel="0" collapsed="false">
      <c r="A1908" s="11"/>
      <c r="B1908" s="6"/>
      <c r="C1908" s="11"/>
      <c r="D1908" s="11"/>
      <c r="E1908" s="8" t="str">
        <f aca="false">IF($A1908="","",IF($B1908&lt;PlanDate,"Late",""))</f>
        <v/>
      </c>
    </row>
    <row r="1909" customFormat="false" ht="15" hidden="false" customHeight="false" outlineLevel="0" collapsed="false">
      <c r="A1909" s="11"/>
      <c r="B1909" s="6"/>
      <c r="C1909" s="11"/>
      <c r="D1909" s="11"/>
      <c r="E1909" s="8" t="str">
        <f aca="false">IF($A1909="","",IF($B1909&lt;PlanDate,"Late",""))</f>
        <v/>
      </c>
    </row>
    <row r="1910" customFormat="false" ht="15" hidden="false" customHeight="false" outlineLevel="0" collapsed="false">
      <c r="A1910" s="11"/>
      <c r="B1910" s="6"/>
      <c r="C1910" s="11"/>
      <c r="D1910" s="11"/>
      <c r="E1910" s="8" t="str">
        <f aca="false">IF($A1910="","",IF($B1910&lt;PlanDate,"Late",""))</f>
        <v/>
      </c>
    </row>
    <row r="1911" customFormat="false" ht="15" hidden="false" customHeight="false" outlineLevel="0" collapsed="false">
      <c r="A1911" s="11"/>
      <c r="B1911" s="6"/>
      <c r="C1911" s="11"/>
      <c r="D1911" s="11"/>
      <c r="E1911" s="8" t="str">
        <f aca="false">IF($A1911="","",IF($B1911&lt;PlanDate,"Late",""))</f>
        <v/>
      </c>
    </row>
    <row r="1912" customFormat="false" ht="15" hidden="false" customHeight="false" outlineLevel="0" collapsed="false">
      <c r="A1912" s="11"/>
      <c r="B1912" s="6"/>
      <c r="C1912" s="11"/>
      <c r="D1912" s="11"/>
      <c r="E1912" s="8" t="str">
        <f aca="false">IF($A1912="","",IF($B1912&lt;PlanDate,"Late",""))</f>
        <v/>
      </c>
    </row>
    <row r="1913" customFormat="false" ht="15" hidden="false" customHeight="false" outlineLevel="0" collapsed="false">
      <c r="A1913" s="11"/>
      <c r="B1913" s="6"/>
      <c r="C1913" s="11"/>
      <c r="D1913" s="11"/>
      <c r="E1913" s="8" t="str">
        <f aca="false">IF($A1913="","",IF($B1913&lt;PlanDate,"Late",""))</f>
        <v/>
      </c>
    </row>
    <row r="1914" customFormat="false" ht="15" hidden="false" customHeight="false" outlineLevel="0" collapsed="false">
      <c r="A1914" s="11"/>
      <c r="B1914" s="6"/>
      <c r="C1914" s="11"/>
      <c r="D1914" s="11"/>
      <c r="E1914" s="8" t="str">
        <f aca="false">IF($A1914="","",IF($B1914&lt;PlanDate,"Late",""))</f>
        <v/>
      </c>
    </row>
    <row r="1915" customFormat="false" ht="15" hidden="false" customHeight="false" outlineLevel="0" collapsed="false">
      <c r="A1915" s="11"/>
      <c r="B1915" s="6"/>
      <c r="C1915" s="11"/>
      <c r="D1915" s="11"/>
      <c r="E1915" s="8" t="str">
        <f aca="false">IF($A1915="","",IF($B1915&lt;PlanDate,"Late",""))</f>
        <v/>
      </c>
    </row>
    <row r="1916" customFormat="false" ht="15" hidden="false" customHeight="false" outlineLevel="0" collapsed="false">
      <c r="A1916" s="11"/>
      <c r="B1916" s="6"/>
      <c r="C1916" s="11"/>
      <c r="D1916" s="11"/>
      <c r="E1916" s="8" t="str">
        <f aca="false">IF($A1916="","",IF($B1916&lt;PlanDate,"Late",""))</f>
        <v/>
      </c>
    </row>
    <row r="1917" customFormat="false" ht="15" hidden="false" customHeight="false" outlineLevel="0" collapsed="false">
      <c r="A1917" s="11"/>
      <c r="B1917" s="6"/>
      <c r="C1917" s="11"/>
      <c r="D1917" s="11"/>
      <c r="E1917" s="8" t="str">
        <f aca="false">IF($A1917="","",IF($B1917&lt;PlanDate,"Late",""))</f>
        <v/>
      </c>
    </row>
    <row r="1918" customFormat="false" ht="15" hidden="false" customHeight="false" outlineLevel="0" collapsed="false">
      <c r="A1918" s="11"/>
      <c r="B1918" s="6"/>
      <c r="C1918" s="11"/>
      <c r="D1918" s="11"/>
      <c r="E1918" s="8" t="str">
        <f aca="false">IF($A1918="","",IF($B1918&lt;PlanDate,"Late",""))</f>
        <v/>
      </c>
    </row>
    <row r="1919" customFormat="false" ht="15" hidden="false" customHeight="false" outlineLevel="0" collapsed="false">
      <c r="A1919" s="11"/>
      <c r="B1919" s="6"/>
      <c r="C1919" s="11"/>
      <c r="D1919" s="11"/>
      <c r="E1919" s="8" t="str">
        <f aca="false">IF($A1919="","",IF($B1919&lt;PlanDate,"Late",""))</f>
        <v/>
      </c>
    </row>
    <row r="1920" customFormat="false" ht="15" hidden="false" customHeight="false" outlineLevel="0" collapsed="false">
      <c r="A1920" s="11"/>
      <c r="B1920" s="6"/>
      <c r="C1920" s="11"/>
      <c r="D1920" s="11"/>
      <c r="E1920" s="8" t="str">
        <f aca="false">IF($A1920="","",IF($B1920&lt;PlanDate,"Late",""))</f>
        <v/>
      </c>
    </row>
    <row r="1921" customFormat="false" ht="15" hidden="false" customHeight="false" outlineLevel="0" collapsed="false">
      <c r="A1921" s="11"/>
      <c r="B1921" s="6"/>
      <c r="C1921" s="11"/>
      <c r="D1921" s="11"/>
      <c r="E1921" s="8" t="str">
        <f aca="false">IF($A1921="","",IF($B1921&lt;PlanDate,"Late",""))</f>
        <v/>
      </c>
    </row>
    <row r="1922" customFormat="false" ht="15" hidden="false" customHeight="false" outlineLevel="0" collapsed="false">
      <c r="A1922" s="11"/>
      <c r="B1922" s="6"/>
      <c r="C1922" s="11"/>
      <c r="D1922" s="11"/>
      <c r="E1922" s="8" t="str">
        <f aca="false">IF($A1922="","",IF($B1922&lt;PlanDate,"Late",""))</f>
        <v/>
      </c>
    </row>
    <row r="1923" customFormat="false" ht="15" hidden="false" customHeight="false" outlineLevel="0" collapsed="false">
      <c r="A1923" s="11"/>
      <c r="B1923" s="6"/>
      <c r="C1923" s="11"/>
      <c r="D1923" s="11"/>
      <c r="E1923" s="8" t="str">
        <f aca="false">IF($A1923="","",IF($B1923&lt;PlanDate,"Late",""))</f>
        <v/>
      </c>
    </row>
    <row r="1924" customFormat="false" ht="15" hidden="false" customHeight="false" outlineLevel="0" collapsed="false">
      <c r="A1924" s="11"/>
      <c r="B1924" s="6"/>
      <c r="C1924" s="11"/>
      <c r="D1924" s="11"/>
      <c r="E1924" s="8" t="str">
        <f aca="false">IF($A1924="","",IF($B1924&lt;PlanDate,"Late",""))</f>
        <v/>
      </c>
    </row>
    <row r="1925" customFormat="false" ht="15" hidden="false" customHeight="false" outlineLevel="0" collapsed="false">
      <c r="A1925" s="11"/>
      <c r="B1925" s="6"/>
      <c r="C1925" s="11"/>
      <c r="D1925" s="11"/>
      <c r="E1925" s="8" t="str">
        <f aca="false">IF($A1925="","",IF($B1925&lt;PlanDate,"Late",""))</f>
        <v/>
      </c>
    </row>
    <row r="1926" customFormat="false" ht="15" hidden="false" customHeight="false" outlineLevel="0" collapsed="false">
      <c r="A1926" s="11"/>
      <c r="B1926" s="6"/>
      <c r="C1926" s="11"/>
      <c r="D1926" s="11"/>
      <c r="E1926" s="8" t="str">
        <f aca="false">IF($A1926="","",IF($B1926&lt;PlanDate,"Late",""))</f>
        <v/>
      </c>
    </row>
    <row r="1927" customFormat="false" ht="15" hidden="false" customHeight="false" outlineLevel="0" collapsed="false">
      <c r="A1927" s="11"/>
      <c r="B1927" s="6"/>
      <c r="C1927" s="11"/>
      <c r="D1927" s="11"/>
      <c r="E1927" s="8" t="str">
        <f aca="false">IF($A1927="","",IF($B1927&lt;PlanDate,"Late",""))</f>
        <v/>
      </c>
    </row>
    <row r="1928" customFormat="false" ht="15" hidden="false" customHeight="false" outlineLevel="0" collapsed="false">
      <c r="A1928" s="11"/>
      <c r="B1928" s="6"/>
      <c r="C1928" s="11"/>
      <c r="D1928" s="11"/>
      <c r="E1928" s="8" t="str">
        <f aca="false">IF($A1928="","",IF($B1928&lt;PlanDate,"Late",""))</f>
        <v/>
      </c>
    </row>
    <row r="1929" customFormat="false" ht="15" hidden="false" customHeight="false" outlineLevel="0" collapsed="false">
      <c r="A1929" s="11"/>
      <c r="B1929" s="6"/>
      <c r="C1929" s="11"/>
      <c r="D1929" s="11"/>
      <c r="E1929" s="8" t="str">
        <f aca="false">IF($A1929="","",IF($B1929&lt;PlanDate,"Late",""))</f>
        <v/>
      </c>
    </row>
    <row r="1930" customFormat="false" ht="15" hidden="false" customHeight="false" outlineLevel="0" collapsed="false">
      <c r="A1930" s="11"/>
      <c r="B1930" s="6"/>
      <c r="C1930" s="11"/>
      <c r="D1930" s="11"/>
      <c r="E1930" s="8" t="str">
        <f aca="false">IF($A1930="","",IF($B1930&lt;PlanDate,"Late",""))</f>
        <v/>
      </c>
    </row>
    <row r="1931" customFormat="false" ht="15" hidden="false" customHeight="false" outlineLevel="0" collapsed="false">
      <c r="A1931" s="11"/>
      <c r="B1931" s="6"/>
      <c r="C1931" s="11"/>
      <c r="D1931" s="11"/>
      <c r="E1931" s="8" t="str">
        <f aca="false">IF($A1931="","",IF($B1931&lt;PlanDate,"Late",""))</f>
        <v/>
      </c>
    </row>
    <row r="1932" customFormat="false" ht="15" hidden="false" customHeight="false" outlineLevel="0" collapsed="false">
      <c r="A1932" s="11"/>
      <c r="B1932" s="6"/>
      <c r="C1932" s="11"/>
      <c r="D1932" s="11"/>
      <c r="E1932" s="8" t="str">
        <f aca="false">IF($A1932="","",IF($B1932&lt;PlanDate,"Late",""))</f>
        <v/>
      </c>
    </row>
    <row r="1933" customFormat="false" ht="15" hidden="false" customHeight="false" outlineLevel="0" collapsed="false">
      <c r="A1933" s="11"/>
      <c r="B1933" s="6"/>
      <c r="C1933" s="11"/>
      <c r="D1933" s="11"/>
      <c r="E1933" s="8" t="str">
        <f aca="false">IF($A1933="","",IF($B1933&lt;PlanDate,"Late",""))</f>
        <v/>
      </c>
    </row>
    <row r="1934" customFormat="false" ht="15" hidden="false" customHeight="false" outlineLevel="0" collapsed="false">
      <c r="A1934" s="11"/>
      <c r="B1934" s="6"/>
      <c r="C1934" s="11"/>
      <c r="D1934" s="11"/>
      <c r="E1934" s="8" t="str">
        <f aca="false">IF($A1934="","",IF($B1934&lt;PlanDate,"Late",""))</f>
        <v/>
      </c>
    </row>
    <row r="1935" customFormat="false" ht="15" hidden="false" customHeight="false" outlineLevel="0" collapsed="false">
      <c r="A1935" s="11"/>
      <c r="B1935" s="6"/>
      <c r="C1935" s="11"/>
      <c r="D1935" s="11"/>
      <c r="E1935" s="8" t="str">
        <f aca="false">IF($A1935="","",IF($B1935&lt;PlanDate,"Late",""))</f>
        <v/>
      </c>
    </row>
    <row r="1936" customFormat="false" ht="15" hidden="false" customHeight="false" outlineLevel="0" collapsed="false">
      <c r="A1936" s="11"/>
      <c r="B1936" s="6"/>
      <c r="C1936" s="11"/>
      <c r="D1936" s="11"/>
      <c r="E1936" s="8" t="str">
        <f aca="false">IF($A1936="","",IF($B1936&lt;PlanDate,"Late",""))</f>
        <v/>
      </c>
    </row>
    <row r="1937" customFormat="false" ht="15" hidden="false" customHeight="false" outlineLevel="0" collapsed="false">
      <c r="A1937" s="11"/>
      <c r="B1937" s="6"/>
      <c r="C1937" s="11"/>
      <c r="D1937" s="11"/>
      <c r="E1937" s="8" t="str">
        <f aca="false">IF($A1937="","",IF($B1937&lt;PlanDate,"Late",""))</f>
        <v/>
      </c>
    </row>
    <row r="1938" customFormat="false" ht="15" hidden="false" customHeight="false" outlineLevel="0" collapsed="false">
      <c r="A1938" s="11"/>
      <c r="B1938" s="6"/>
      <c r="C1938" s="11"/>
      <c r="D1938" s="11"/>
      <c r="E1938" s="8" t="str">
        <f aca="false">IF($A1938="","",IF($B1938&lt;PlanDate,"Late",""))</f>
        <v/>
      </c>
    </row>
    <row r="1939" customFormat="false" ht="15" hidden="false" customHeight="false" outlineLevel="0" collapsed="false">
      <c r="A1939" s="11"/>
      <c r="B1939" s="6"/>
      <c r="C1939" s="11"/>
      <c r="D1939" s="11"/>
      <c r="E1939" s="8" t="str">
        <f aca="false">IF($A1939="","",IF($B1939&lt;PlanDate,"Late",""))</f>
        <v/>
      </c>
    </row>
    <row r="1940" customFormat="false" ht="15" hidden="false" customHeight="false" outlineLevel="0" collapsed="false">
      <c r="A1940" s="11"/>
      <c r="B1940" s="6"/>
      <c r="C1940" s="11"/>
      <c r="D1940" s="11"/>
      <c r="E1940" s="8" t="str">
        <f aca="false">IF($A1940="","",IF($B1940&lt;PlanDate,"Late",""))</f>
        <v/>
      </c>
    </row>
    <row r="1941" customFormat="false" ht="15" hidden="false" customHeight="false" outlineLevel="0" collapsed="false">
      <c r="A1941" s="11"/>
      <c r="B1941" s="6"/>
      <c r="C1941" s="11"/>
      <c r="D1941" s="11"/>
      <c r="E1941" s="8" t="str">
        <f aca="false">IF($A1941="","",IF($B1941&lt;PlanDate,"Late",""))</f>
        <v/>
      </c>
    </row>
    <row r="1942" customFormat="false" ht="15" hidden="false" customHeight="false" outlineLevel="0" collapsed="false">
      <c r="A1942" s="11"/>
      <c r="B1942" s="6"/>
      <c r="C1942" s="11"/>
      <c r="D1942" s="11"/>
      <c r="E1942" s="8" t="str">
        <f aca="false">IF($A1942="","",IF($B1942&lt;PlanDate,"Late",""))</f>
        <v/>
      </c>
    </row>
    <row r="1943" customFormat="false" ht="15" hidden="false" customHeight="false" outlineLevel="0" collapsed="false">
      <c r="A1943" s="11"/>
      <c r="B1943" s="6"/>
      <c r="C1943" s="11"/>
      <c r="D1943" s="11"/>
      <c r="E1943" s="8" t="str">
        <f aca="false">IF($A1943="","",IF($B1943&lt;PlanDate,"Late",""))</f>
        <v/>
      </c>
    </row>
    <row r="1944" customFormat="false" ht="15" hidden="false" customHeight="false" outlineLevel="0" collapsed="false">
      <c r="A1944" s="11"/>
      <c r="B1944" s="6"/>
      <c r="C1944" s="11"/>
      <c r="D1944" s="11"/>
      <c r="E1944" s="8" t="str">
        <f aca="false">IF($A1944="","",IF($B1944&lt;PlanDate,"Late",""))</f>
        <v/>
      </c>
    </row>
    <row r="1945" customFormat="false" ht="15" hidden="false" customHeight="false" outlineLevel="0" collapsed="false">
      <c r="A1945" s="11"/>
      <c r="B1945" s="6"/>
      <c r="C1945" s="11"/>
      <c r="D1945" s="11"/>
      <c r="E1945" s="8" t="str">
        <f aca="false">IF($A1945="","",IF($B1945&lt;PlanDate,"Late",""))</f>
        <v/>
      </c>
    </row>
    <row r="1946" customFormat="false" ht="15" hidden="false" customHeight="false" outlineLevel="0" collapsed="false">
      <c r="A1946" s="11"/>
      <c r="B1946" s="6"/>
      <c r="C1946" s="11"/>
      <c r="D1946" s="11"/>
      <c r="E1946" s="8" t="str">
        <f aca="false">IF($A1946="","",IF($B1946&lt;PlanDate,"Late",""))</f>
        <v/>
      </c>
    </row>
    <row r="1947" customFormat="false" ht="15" hidden="false" customHeight="false" outlineLevel="0" collapsed="false">
      <c r="A1947" s="11"/>
      <c r="B1947" s="6"/>
      <c r="C1947" s="11"/>
      <c r="D1947" s="11"/>
      <c r="E1947" s="8" t="str">
        <f aca="false">IF($A1947="","",IF($B1947&lt;PlanDate,"Late",""))</f>
        <v/>
      </c>
    </row>
    <row r="1948" customFormat="false" ht="15" hidden="false" customHeight="false" outlineLevel="0" collapsed="false">
      <c r="A1948" s="11"/>
      <c r="B1948" s="6"/>
      <c r="C1948" s="11"/>
      <c r="D1948" s="11"/>
      <c r="E1948" s="8" t="str">
        <f aca="false">IF($A1948="","",IF($B1948&lt;PlanDate,"Late",""))</f>
        <v/>
      </c>
    </row>
    <row r="1949" customFormat="false" ht="15" hidden="false" customHeight="false" outlineLevel="0" collapsed="false">
      <c r="A1949" s="11"/>
      <c r="B1949" s="6"/>
      <c r="C1949" s="11"/>
      <c r="D1949" s="11"/>
      <c r="E1949" s="8" t="str">
        <f aca="false">IF($A1949="","",IF($B1949&lt;PlanDate,"Late",""))</f>
        <v/>
      </c>
    </row>
    <row r="1950" customFormat="false" ht="15" hidden="false" customHeight="false" outlineLevel="0" collapsed="false">
      <c r="A1950" s="11"/>
      <c r="B1950" s="6"/>
      <c r="C1950" s="11"/>
      <c r="D1950" s="11"/>
      <c r="E1950" s="8" t="str">
        <f aca="false">IF($A1950="","",IF($B1950&lt;PlanDate,"Late",""))</f>
        <v/>
      </c>
    </row>
    <row r="1951" customFormat="false" ht="15" hidden="false" customHeight="false" outlineLevel="0" collapsed="false">
      <c r="A1951" s="11"/>
      <c r="B1951" s="6"/>
      <c r="C1951" s="11"/>
      <c r="D1951" s="11"/>
      <c r="E1951" s="8" t="str">
        <f aca="false">IF($A1951="","",IF($B1951&lt;PlanDate,"Late",""))</f>
        <v/>
      </c>
    </row>
    <row r="1952" customFormat="false" ht="15" hidden="false" customHeight="false" outlineLevel="0" collapsed="false">
      <c r="A1952" s="11"/>
      <c r="B1952" s="6"/>
      <c r="C1952" s="11"/>
      <c r="D1952" s="11"/>
      <c r="E1952" s="8" t="str">
        <f aca="false">IF($A1952="","",IF($B1952&lt;PlanDate,"Late",""))</f>
        <v/>
      </c>
    </row>
    <row r="1953" customFormat="false" ht="15" hidden="false" customHeight="false" outlineLevel="0" collapsed="false">
      <c r="A1953" s="11"/>
      <c r="B1953" s="6"/>
      <c r="C1953" s="11"/>
      <c r="D1953" s="11"/>
      <c r="E1953" s="8" t="str">
        <f aca="false">IF($A1953="","",IF($B1953&lt;PlanDate,"Late",""))</f>
        <v/>
      </c>
    </row>
    <row r="1954" customFormat="false" ht="15" hidden="false" customHeight="false" outlineLevel="0" collapsed="false">
      <c r="A1954" s="11"/>
      <c r="B1954" s="6"/>
      <c r="C1954" s="11"/>
      <c r="D1954" s="11"/>
      <c r="E1954" s="8" t="str">
        <f aca="false">IF($A1954="","",IF($B1954&lt;PlanDate,"Late",""))</f>
        <v/>
      </c>
    </row>
    <row r="1955" customFormat="false" ht="15" hidden="false" customHeight="false" outlineLevel="0" collapsed="false">
      <c r="A1955" s="11"/>
      <c r="B1955" s="6"/>
      <c r="C1955" s="11"/>
      <c r="D1955" s="11"/>
      <c r="E1955" s="8" t="str">
        <f aca="false">IF($A1955="","",IF($B1955&lt;PlanDate,"Late",""))</f>
        <v/>
      </c>
    </row>
    <row r="1956" customFormat="false" ht="15" hidden="false" customHeight="false" outlineLevel="0" collapsed="false">
      <c r="A1956" s="11"/>
      <c r="B1956" s="6"/>
      <c r="C1956" s="11"/>
      <c r="D1956" s="11"/>
      <c r="E1956" s="8" t="str">
        <f aca="false">IF($A1956="","",IF($B1956&lt;PlanDate,"Late",""))</f>
        <v/>
      </c>
    </row>
    <row r="1957" customFormat="false" ht="15" hidden="false" customHeight="false" outlineLevel="0" collapsed="false">
      <c r="A1957" s="11"/>
      <c r="B1957" s="6"/>
      <c r="C1957" s="11"/>
      <c r="D1957" s="11"/>
      <c r="E1957" s="8" t="str">
        <f aca="false">IF($A1957="","",IF($B1957&lt;PlanDate,"Late",""))</f>
        <v/>
      </c>
    </row>
    <row r="1958" customFormat="false" ht="15" hidden="false" customHeight="false" outlineLevel="0" collapsed="false">
      <c r="A1958" s="11"/>
      <c r="B1958" s="6"/>
      <c r="C1958" s="11"/>
      <c r="D1958" s="11"/>
      <c r="E1958" s="8" t="str">
        <f aca="false">IF($A1958="","",IF($B1958&lt;PlanDate,"Late",""))</f>
        <v/>
      </c>
    </row>
    <row r="1959" customFormat="false" ht="15" hidden="false" customHeight="false" outlineLevel="0" collapsed="false">
      <c r="A1959" s="11"/>
      <c r="B1959" s="6"/>
      <c r="C1959" s="11"/>
      <c r="D1959" s="11"/>
      <c r="E1959" s="8" t="str">
        <f aca="false">IF($A1959="","",IF($B1959&lt;PlanDate,"Late",""))</f>
        <v/>
      </c>
    </row>
    <row r="1960" customFormat="false" ht="15" hidden="false" customHeight="false" outlineLevel="0" collapsed="false">
      <c r="A1960" s="11"/>
      <c r="B1960" s="6"/>
      <c r="C1960" s="11"/>
      <c r="D1960" s="11"/>
      <c r="E1960" s="8" t="str">
        <f aca="false">IF($A1960="","",IF($B1960&lt;PlanDate,"Late",""))</f>
        <v/>
      </c>
    </row>
    <row r="1961" customFormat="false" ht="15" hidden="false" customHeight="false" outlineLevel="0" collapsed="false">
      <c r="A1961" s="11"/>
      <c r="B1961" s="6"/>
      <c r="C1961" s="11"/>
      <c r="D1961" s="11"/>
      <c r="E1961" s="8" t="str">
        <f aca="false">IF($A1961="","",IF($B1961&lt;PlanDate,"Late",""))</f>
        <v/>
      </c>
    </row>
    <row r="1962" customFormat="false" ht="15" hidden="false" customHeight="false" outlineLevel="0" collapsed="false">
      <c r="A1962" s="11"/>
      <c r="B1962" s="6"/>
      <c r="C1962" s="11"/>
      <c r="D1962" s="11"/>
      <c r="E1962" s="8" t="str">
        <f aca="false">IF($A1962="","",IF($B1962&lt;PlanDate,"Late",""))</f>
        <v/>
      </c>
    </row>
    <row r="1963" customFormat="false" ht="15" hidden="false" customHeight="false" outlineLevel="0" collapsed="false">
      <c r="A1963" s="11"/>
      <c r="B1963" s="6"/>
      <c r="C1963" s="11"/>
      <c r="D1963" s="11"/>
      <c r="E1963" s="8" t="str">
        <f aca="false">IF($A1963="","",IF($B1963&lt;PlanDate,"Late",""))</f>
        <v/>
      </c>
    </row>
    <row r="1964" customFormat="false" ht="15" hidden="false" customHeight="false" outlineLevel="0" collapsed="false">
      <c r="A1964" s="11"/>
      <c r="B1964" s="6"/>
      <c r="C1964" s="11"/>
      <c r="D1964" s="11"/>
      <c r="E1964" s="8" t="str">
        <f aca="false">IF($A1964="","",IF($B1964&lt;PlanDate,"Late",""))</f>
        <v/>
      </c>
    </row>
    <row r="1965" customFormat="false" ht="15" hidden="false" customHeight="false" outlineLevel="0" collapsed="false">
      <c r="A1965" s="11"/>
      <c r="B1965" s="6"/>
      <c r="C1965" s="11"/>
      <c r="D1965" s="11"/>
      <c r="E1965" s="8" t="str">
        <f aca="false">IF($A1965="","",IF($B1965&lt;PlanDate,"Late",""))</f>
        <v/>
      </c>
    </row>
    <row r="1966" customFormat="false" ht="15" hidden="false" customHeight="false" outlineLevel="0" collapsed="false">
      <c r="A1966" s="11"/>
      <c r="B1966" s="6"/>
      <c r="C1966" s="11"/>
      <c r="D1966" s="11"/>
      <c r="E1966" s="8" t="str">
        <f aca="false">IF($A1966="","",IF($B1966&lt;PlanDate,"Late",""))</f>
        <v/>
      </c>
    </row>
    <row r="1967" customFormat="false" ht="15" hidden="false" customHeight="false" outlineLevel="0" collapsed="false">
      <c r="A1967" s="11"/>
      <c r="B1967" s="6"/>
      <c r="C1967" s="11"/>
      <c r="D1967" s="11"/>
      <c r="E1967" s="8" t="str">
        <f aca="false">IF($A1967="","",IF($B1967&lt;PlanDate,"Late",""))</f>
        <v/>
      </c>
    </row>
    <row r="1968" customFormat="false" ht="15" hidden="false" customHeight="false" outlineLevel="0" collapsed="false">
      <c r="A1968" s="11"/>
      <c r="B1968" s="6"/>
      <c r="C1968" s="11"/>
      <c r="D1968" s="11"/>
      <c r="E1968" s="8" t="str">
        <f aca="false">IF($A1968="","",IF($B1968&lt;PlanDate,"Late",""))</f>
        <v/>
      </c>
    </row>
    <row r="1969" customFormat="false" ht="15" hidden="false" customHeight="false" outlineLevel="0" collapsed="false">
      <c r="A1969" s="11"/>
      <c r="B1969" s="6"/>
      <c r="C1969" s="11"/>
      <c r="D1969" s="11"/>
      <c r="E1969" s="8" t="str">
        <f aca="false">IF($A1969="","",IF($B1969&lt;PlanDate,"Late",""))</f>
        <v/>
      </c>
    </row>
    <row r="1970" customFormat="false" ht="15" hidden="false" customHeight="false" outlineLevel="0" collapsed="false">
      <c r="A1970" s="11"/>
      <c r="B1970" s="6"/>
      <c r="C1970" s="11"/>
      <c r="D1970" s="11"/>
      <c r="E1970" s="8" t="str">
        <f aca="false">IF($A1970="","",IF($B1970&lt;PlanDate,"Late",""))</f>
        <v/>
      </c>
    </row>
    <row r="1971" customFormat="false" ht="15" hidden="false" customHeight="false" outlineLevel="0" collapsed="false">
      <c r="A1971" s="11"/>
      <c r="B1971" s="6"/>
      <c r="C1971" s="11"/>
      <c r="D1971" s="11"/>
      <c r="E1971" s="8" t="str">
        <f aca="false">IF($A1971="","",IF($B1971&lt;PlanDate,"Late",""))</f>
        <v/>
      </c>
    </row>
    <row r="1972" customFormat="false" ht="15" hidden="false" customHeight="false" outlineLevel="0" collapsed="false">
      <c r="A1972" s="11"/>
      <c r="B1972" s="6"/>
      <c r="C1972" s="11"/>
      <c r="D1972" s="11"/>
      <c r="E1972" s="8" t="str">
        <f aca="false">IF($A1972="","",IF($B1972&lt;PlanDate,"Late",""))</f>
        <v/>
      </c>
    </row>
    <row r="1973" customFormat="false" ht="15" hidden="false" customHeight="false" outlineLevel="0" collapsed="false">
      <c r="A1973" s="11"/>
      <c r="B1973" s="6"/>
      <c r="C1973" s="11"/>
      <c r="D1973" s="11"/>
      <c r="E1973" s="8" t="str">
        <f aca="false">IF($A1973="","",IF($B1973&lt;PlanDate,"Late",""))</f>
        <v/>
      </c>
    </row>
    <row r="1974" customFormat="false" ht="15" hidden="false" customHeight="false" outlineLevel="0" collapsed="false">
      <c r="A1974" s="11"/>
      <c r="B1974" s="6"/>
      <c r="C1974" s="11"/>
      <c r="D1974" s="11"/>
      <c r="E1974" s="8" t="str">
        <f aca="false">IF($A1974="","",IF($B1974&lt;PlanDate,"Late",""))</f>
        <v/>
      </c>
    </row>
    <row r="1975" customFormat="false" ht="15" hidden="false" customHeight="false" outlineLevel="0" collapsed="false">
      <c r="A1975" s="11"/>
      <c r="B1975" s="6"/>
      <c r="C1975" s="11"/>
      <c r="D1975" s="11"/>
      <c r="E1975" s="8" t="str">
        <f aca="false">IF($A1975="","",IF($B1975&lt;PlanDate,"Late",""))</f>
        <v/>
      </c>
    </row>
    <row r="1976" customFormat="false" ht="15" hidden="false" customHeight="false" outlineLevel="0" collapsed="false">
      <c r="A1976" s="11"/>
      <c r="B1976" s="6"/>
      <c r="C1976" s="11"/>
      <c r="D1976" s="11"/>
      <c r="E1976" s="8" t="str">
        <f aca="false">IF($A1976="","",IF($B1976&lt;PlanDate,"Late",""))</f>
        <v/>
      </c>
    </row>
    <row r="1977" customFormat="false" ht="15" hidden="false" customHeight="false" outlineLevel="0" collapsed="false">
      <c r="A1977" s="11"/>
      <c r="B1977" s="6"/>
      <c r="C1977" s="11"/>
      <c r="D1977" s="11"/>
      <c r="E1977" s="8" t="str">
        <f aca="false">IF($A1977="","",IF($B1977&lt;PlanDate,"Late",""))</f>
        <v/>
      </c>
    </row>
    <row r="1978" customFormat="false" ht="15" hidden="false" customHeight="false" outlineLevel="0" collapsed="false">
      <c r="A1978" s="11"/>
      <c r="B1978" s="6"/>
      <c r="C1978" s="11"/>
      <c r="D1978" s="11"/>
      <c r="E1978" s="8" t="str">
        <f aca="false">IF($A1978="","",IF($B1978&lt;PlanDate,"Late",""))</f>
        <v/>
      </c>
    </row>
    <row r="1979" customFormat="false" ht="15" hidden="false" customHeight="false" outlineLevel="0" collapsed="false">
      <c r="A1979" s="11"/>
      <c r="B1979" s="6"/>
      <c r="C1979" s="11"/>
      <c r="D1979" s="11"/>
      <c r="E1979" s="8" t="str">
        <f aca="false">IF($A1979="","",IF($B1979&lt;PlanDate,"Late",""))</f>
        <v/>
      </c>
    </row>
    <row r="1980" customFormat="false" ht="15" hidden="false" customHeight="false" outlineLevel="0" collapsed="false">
      <c r="A1980" s="11"/>
      <c r="B1980" s="6"/>
      <c r="C1980" s="11"/>
      <c r="D1980" s="11"/>
      <c r="E1980" s="8" t="str">
        <f aca="false">IF($A1980="","",IF($B1980&lt;PlanDate,"Late",""))</f>
        <v/>
      </c>
    </row>
    <row r="1981" customFormat="false" ht="15" hidden="false" customHeight="false" outlineLevel="0" collapsed="false">
      <c r="A1981" s="11"/>
      <c r="B1981" s="6"/>
      <c r="C1981" s="11"/>
      <c r="D1981" s="11"/>
      <c r="E1981" s="8" t="str">
        <f aca="false">IF($A1981="","",IF($B1981&lt;PlanDate,"Late",""))</f>
        <v/>
      </c>
    </row>
    <row r="1982" customFormat="false" ht="15" hidden="false" customHeight="false" outlineLevel="0" collapsed="false">
      <c r="A1982" s="11"/>
      <c r="B1982" s="6"/>
      <c r="C1982" s="11"/>
      <c r="D1982" s="11"/>
      <c r="E1982" s="8" t="str">
        <f aca="false">IF($A1982="","",IF($B1982&lt;PlanDate,"Late",""))</f>
        <v/>
      </c>
    </row>
    <row r="1983" customFormat="false" ht="15" hidden="false" customHeight="false" outlineLevel="0" collapsed="false">
      <c r="A1983" s="11"/>
      <c r="B1983" s="6"/>
      <c r="C1983" s="11"/>
      <c r="D1983" s="11"/>
      <c r="E1983" s="8" t="str">
        <f aca="false">IF($A1983="","",IF($B1983&lt;PlanDate,"Late",""))</f>
        <v/>
      </c>
    </row>
    <row r="1984" customFormat="false" ht="15" hidden="false" customHeight="false" outlineLevel="0" collapsed="false">
      <c r="A1984" s="11"/>
      <c r="B1984" s="6"/>
      <c r="C1984" s="11"/>
      <c r="D1984" s="11"/>
      <c r="E1984" s="8" t="str">
        <f aca="false">IF($A1984="","",IF($B1984&lt;PlanDate,"Late",""))</f>
        <v/>
      </c>
    </row>
    <row r="1985" customFormat="false" ht="15" hidden="false" customHeight="false" outlineLevel="0" collapsed="false">
      <c r="A1985" s="11"/>
      <c r="B1985" s="6"/>
      <c r="C1985" s="11"/>
      <c r="D1985" s="11"/>
      <c r="E1985" s="8" t="str">
        <f aca="false">IF($A1985="","",IF($B1985&lt;PlanDate,"Late",""))</f>
        <v/>
      </c>
    </row>
    <row r="1986" customFormat="false" ht="15" hidden="false" customHeight="false" outlineLevel="0" collapsed="false">
      <c r="A1986" s="11"/>
      <c r="B1986" s="6"/>
      <c r="C1986" s="11"/>
      <c r="D1986" s="11"/>
      <c r="E1986" s="8" t="str">
        <f aca="false">IF($A1986="","",IF($B1986&lt;PlanDate,"Late",""))</f>
        <v/>
      </c>
    </row>
    <row r="1987" customFormat="false" ht="15" hidden="false" customHeight="false" outlineLevel="0" collapsed="false">
      <c r="A1987" s="11"/>
      <c r="B1987" s="6"/>
      <c r="C1987" s="11"/>
      <c r="D1987" s="11"/>
      <c r="E1987" s="8" t="str">
        <f aca="false">IF($A1987="","",IF($B1987&lt;PlanDate,"Late",""))</f>
        <v/>
      </c>
    </row>
    <row r="1988" customFormat="false" ht="15" hidden="false" customHeight="false" outlineLevel="0" collapsed="false">
      <c r="A1988" s="11"/>
      <c r="B1988" s="6"/>
      <c r="C1988" s="11"/>
      <c r="D1988" s="11"/>
      <c r="E1988" s="8" t="str">
        <f aca="false">IF($A1988="","",IF($B1988&lt;PlanDate,"Late",""))</f>
        <v/>
      </c>
    </row>
    <row r="1989" customFormat="false" ht="15" hidden="false" customHeight="false" outlineLevel="0" collapsed="false">
      <c r="A1989" s="11"/>
      <c r="B1989" s="6"/>
      <c r="C1989" s="11"/>
      <c r="D1989" s="11"/>
      <c r="E1989" s="8" t="str">
        <f aca="false">IF($A1989="","",IF($B1989&lt;PlanDate,"Late",""))</f>
        <v/>
      </c>
    </row>
    <row r="1990" customFormat="false" ht="15" hidden="false" customHeight="false" outlineLevel="0" collapsed="false">
      <c r="A1990" s="11"/>
      <c r="B1990" s="6"/>
      <c r="C1990" s="11"/>
      <c r="D1990" s="11"/>
      <c r="E1990" s="8" t="str">
        <f aca="false">IF($A1990="","",IF($B1990&lt;PlanDate,"Late",""))</f>
        <v/>
      </c>
    </row>
    <row r="1991" customFormat="false" ht="15" hidden="false" customHeight="false" outlineLevel="0" collapsed="false">
      <c r="A1991" s="11"/>
      <c r="B1991" s="6"/>
      <c r="C1991" s="11"/>
      <c r="D1991" s="11"/>
      <c r="E1991" s="8" t="str">
        <f aca="false">IF($A1991="","",IF($B1991&lt;PlanDate,"Late",""))</f>
        <v/>
      </c>
    </row>
    <row r="1992" customFormat="false" ht="15" hidden="false" customHeight="false" outlineLevel="0" collapsed="false">
      <c r="A1992" s="11"/>
      <c r="B1992" s="6"/>
      <c r="C1992" s="11"/>
      <c r="D1992" s="11"/>
      <c r="E1992" s="8" t="str">
        <f aca="false">IF($A1992="","",IF($B1992&lt;PlanDate,"Late",""))</f>
        <v/>
      </c>
    </row>
    <row r="1993" customFormat="false" ht="15" hidden="false" customHeight="false" outlineLevel="0" collapsed="false">
      <c r="A1993" s="11"/>
      <c r="B1993" s="6"/>
      <c r="C1993" s="11"/>
      <c r="D1993" s="11"/>
      <c r="E1993" s="8" t="str">
        <f aca="false">IF($A1993="","",IF($B1993&lt;PlanDate,"Late",""))</f>
        <v/>
      </c>
    </row>
    <row r="1994" customFormat="false" ht="15" hidden="false" customHeight="false" outlineLevel="0" collapsed="false">
      <c r="A1994" s="11"/>
      <c r="B1994" s="6"/>
      <c r="C1994" s="11"/>
      <c r="D1994" s="11"/>
      <c r="E1994" s="8" t="str">
        <f aca="false">IF($A1994="","",IF($B1994&lt;PlanDate,"Late",""))</f>
        <v/>
      </c>
    </row>
    <row r="1995" customFormat="false" ht="15" hidden="false" customHeight="false" outlineLevel="0" collapsed="false">
      <c r="A1995" s="11"/>
      <c r="B1995" s="6"/>
      <c r="C1995" s="11"/>
      <c r="D1995" s="11"/>
      <c r="E1995" s="8" t="str">
        <f aca="false">IF($A1995="","",IF($B1995&lt;PlanDate,"Late",""))</f>
        <v/>
      </c>
    </row>
    <row r="1996" customFormat="false" ht="15" hidden="false" customHeight="false" outlineLevel="0" collapsed="false">
      <c r="A1996" s="11"/>
      <c r="B1996" s="6"/>
      <c r="C1996" s="11"/>
      <c r="D1996" s="11"/>
      <c r="E1996" s="8" t="str">
        <f aca="false">IF($A1996="","",IF($B1996&lt;PlanDate,"Late",""))</f>
        <v/>
      </c>
    </row>
    <row r="1997" customFormat="false" ht="15" hidden="false" customHeight="false" outlineLevel="0" collapsed="false">
      <c r="A1997" s="11"/>
      <c r="B1997" s="6"/>
      <c r="C1997" s="11"/>
      <c r="D1997" s="11"/>
      <c r="E1997" s="8" t="str">
        <f aca="false">IF($A1997="","",IF($B1997&lt;PlanDate,"Late",""))</f>
        <v/>
      </c>
    </row>
    <row r="1998" customFormat="false" ht="15" hidden="false" customHeight="false" outlineLevel="0" collapsed="false">
      <c r="A1998" s="11"/>
      <c r="B1998" s="6"/>
      <c r="C1998" s="11"/>
      <c r="D1998" s="11"/>
      <c r="E1998" s="8" t="str">
        <f aca="false">IF($A1998="","",IF($B1998&lt;PlanDate,"Late",""))</f>
        <v/>
      </c>
    </row>
    <row r="1999" customFormat="false" ht="15" hidden="false" customHeight="false" outlineLevel="0" collapsed="false">
      <c r="A1999" s="11"/>
      <c r="B1999" s="6"/>
      <c r="C1999" s="11"/>
      <c r="D1999" s="11"/>
      <c r="E1999" s="8" t="str">
        <f aca="false">IF($A1999="","",IF($B1999&lt;PlanDate,"Late",""))</f>
        <v/>
      </c>
    </row>
    <row r="2000" customFormat="false" ht="15" hidden="false" customHeight="false" outlineLevel="0" collapsed="false">
      <c r="A2000" s="11"/>
      <c r="B2000" s="6"/>
      <c r="C2000" s="11"/>
      <c r="D2000" s="11"/>
      <c r="E2000" s="8" t="str">
        <f aca="false">IF($A2000="","",IF($B2000&lt;PlanDate,"Late",""))</f>
        <v/>
      </c>
    </row>
    <row r="2001" customFormat="false" ht="15" hidden="false" customHeight="false" outlineLevel="0" collapsed="false">
      <c r="A2001" s="11"/>
      <c r="B2001" s="6"/>
      <c r="C2001" s="11"/>
      <c r="D2001" s="11"/>
      <c r="E2001" s="8" t="str">
        <f aca="false">IF($A2001="","",IF($B2001&lt;PlanDate,"Late",""))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J2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true" outlineLevel="0" max="8" min="8" style="0" width="12"/>
  </cols>
  <sheetData>
    <row r="1" customFormat="false" ht="30" hidden="false" customHeight="true" outlineLevel="0" collapsed="false">
      <c r="A1" s="15" t="s">
        <v>84</v>
      </c>
      <c r="B1" s="15" t="s">
        <v>133</v>
      </c>
      <c r="C1" s="15" t="s">
        <v>131</v>
      </c>
      <c r="D1" s="15" t="s">
        <v>134</v>
      </c>
      <c r="E1" s="14" t="s">
        <v>141</v>
      </c>
      <c r="F1" s="14" t="s">
        <v>142</v>
      </c>
      <c r="G1" s="14" t="s">
        <v>143</v>
      </c>
      <c r="H1" s="14" t="s">
        <v>105</v>
      </c>
      <c r="J1" s="3" t="s">
        <v>144</v>
      </c>
    </row>
    <row r="2" customFormat="false" ht="15" hidden="false" customHeight="false" outlineLevel="0" collapsed="false">
      <c r="A2" s="11" t="s">
        <v>108</v>
      </c>
      <c r="B2" s="6" t="n">
        <f aca="false">PlanDate+4</f>
        <v>46315</v>
      </c>
      <c r="C2" s="11" t="n">
        <v>60</v>
      </c>
      <c r="D2" s="11" t="s">
        <v>145</v>
      </c>
      <c r="E2" s="8" t="n">
        <f aca="false">IF($A2="","",SUMIFS($C:$C,$A:$A,$H2,$B:$B,"&gt;="&amp;INT($B2),$B:$B,"&lt;"&amp;(INT($B2)+1)))</f>
        <v>60</v>
      </c>
      <c r="F2" s="19" t="str">
        <f aca="false">IF($A2="","",IF(ISNA(MATCH($H2,Buffers!$AE:$AE,0)),"Not on Buffers",IF(NOT(ISNUMBER($B2)),"Needs a date",IF(INT($B2)&lt;PlanDate,"Past due",IF(INT($B2)=PlanDate,"Due today",IF(AND(INDEX(Buffers!$L:$L,MATCH($H2,Buffers!$AE:$AE,0))="Planned",$E2&gt;0,INT($B2)&lt;=PlanDate+ROUNDUP(IF(ISNUMBER(SpikeHorizon),SpikeHorizon,INDEX(Buffers!$D:$D,MATCH($H2,Buffers!$AE:$AE,0))),0),$E2&gt;=SpikePct*INDEX(Buffers!$P:$P,MATCH($H2,Buffers!$AE:$AE,0))),"Spike","Not qualified"))))))</f>
        <v>Not qualified</v>
      </c>
      <c r="G2" s="8" t="n">
        <f aca="false">IF($A2="","",IF(OR($F2="Past due",$F2="Due today",$F2="Spike"),$C2,0))</f>
        <v>0</v>
      </c>
      <c r="H2" s="8" t="str">
        <f aca="false">IF($A2="","",SUBSTITUTE(SUBSTITUTE(SUBSTITUTE($A2&amp;"","~","~~"),"*","~*"),"?","~?"))</f>
        <v>SEAL-KIT-220</v>
      </c>
    </row>
    <row r="3" customFormat="false" ht="15" hidden="false" customHeight="false" outlineLevel="0" collapsed="false">
      <c r="A3" s="11" t="s">
        <v>108</v>
      </c>
      <c r="B3" s="6" t="n">
        <f aca="false">PlanDate+0</f>
        <v>46311</v>
      </c>
      <c r="C3" s="11" t="n">
        <v>14</v>
      </c>
      <c r="D3" s="11" t="s">
        <v>146</v>
      </c>
      <c r="E3" s="8" t="n">
        <f aca="false">IF($A3="","",SUMIFS($C:$C,$A:$A,$H3,$B:$B,"&gt;="&amp;INT($B3),$B:$B,"&lt;"&amp;(INT($B3)+1)))</f>
        <v>14</v>
      </c>
      <c r="F3" s="19" t="str">
        <f aca="false">IF($A3="","",IF(ISNA(MATCH($H3,Buffers!$AE:$AE,0)),"Not on Buffers",IF(NOT(ISNUMBER($B3)),"Needs a date",IF(INT($B3)&lt;PlanDate,"Past due",IF(INT($B3)=PlanDate,"Due today",IF(AND(INDEX(Buffers!$L:$L,MATCH($H3,Buffers!$AE:$AE,0))="Planned",$E3&gt;0,INT($B3)&lt;=PlanDate+ROUNDUP(IF(ISNUMBER(SpikeHorizon),SpikeHorizon,INDEX(Buffers!$D:$D,MATCH($H3,Buffers!$AE:$AE,0))),0),$E3&gt;=SpikePct*INDEX(Buffers!$P:$P,MATCH($H3,Buffers!$AE:$AE,0))),"Spike","Not qualified"))))))</f>
        <v>Due today</v>
      </c>
      <c r="G3" s="8" t="n">
        <f aca="false">IF($A3="","",IF(OR($F3="Past due",$F3="Due today",$F3="Spike"),$C3,0))</f>
        <v>14</v>
      </c>
      <c r="H3" s="8" t="str">
        <f aca="false">IF($A3="","",SUBSTITUTE(SUBSTITUTE(SUBSTITUTE($A3&amp;"","~","~~"),"*","~*"),"?","~?"))</f>
        <v>SEAL-KIT-220</v>
      </c>
    </row>
    <row r="4" customFormat="false" ht="15" hidden="false" customHeight="false" outlineLevel="0" collapsed="false">
      <c r="A4" s="11" t="s">
        <v>120</v>
      </c>
      <c r="B4" s="6" t="n">
        <f aca="false">PlanDate+6</f>
        <v>46317</v>
      </c>
      <c r="C4" s="11" t="n">
        <v>24</v>
      </c>
      <c r="D4" s="11" t="s">
        <v>147</v>
      </c>
      <c r="E4" s="8" t="n">
        <f aca="false">IF($A4="","",SUMIFS($C:$C,$A:$A,$H4,$B:$B,"&gt;="&amp;INT($B4),$B:$B,"&lt;"&amp;(INT($B4)+1)))</f>
        <v>24</v>
      </c>
      <c r="F4" s="19" t="str">
        <f aca="false">IF($A4="","",IF(ISNA(MATCH($H4,Buffers!$AE:$AE,0)),"Not on Buffers",IF(NOT(ISNUMBER($B4)),"Needs a date",IF(INT($B4)&lt;PlanDate,"Past due",IF(INT($B4)=PlanDate,"Due today",IF(AND(INDEX(Buffers!$L:$L,MATCH($H4,Buffers!$AE:$AE,0))="Planned",$E4&gt;0,INT($B4)&lt;=PlanDate+ROUNDUP(IF(ISNUMBER(SpikeHorizon),SpikeHorizon,INDEX(Buffers!$D:$D,MATCH($H4,Buffers!$AE:$AE,0))),0),$E4&gt;=SpikePct*INDEX(Buffers!$P:$P,MATCH($H4,Buffers!$AE:$AE,0))),"Spike","Not qualified"))))))</f>
        <v>Not qualified</v>
      </c>
      <c r="G4" s="8" t="n">
        <f aca="false">IF($A4="","",IF(OR($F4="Past due",$F4="Due today",$F4="Spike"),$C4,0))</f>
        <v>0</v>
      </c>
      <c r="H4" s="8" t="str">
        <f aca="false">IF($A4="","",SUBSTITUTE(SUBSTITUTE(SUBSTITUTE($A4&amp;"","~","~~"),"*","~*"),"?","~?"))</f>
        <v>VLV-BALL-1</v>
      </c>
    </row>
    <row r="5" customFormat="false" ht="15" hidden="false" customHeight="false" outlineLevel="0" collapsed="false">
      <c r="A5" s="11" t="s">
        <v>124</v>
      </c>
      <c r="B5" s="6" t="n">
        <f aca="false">PlanDate+5</f>
        <v>46316</v>
      </c>
      <c r="C5" s="11" t="n">
        <v>150</v>
      </c>
      <c r="D5" s="11" t="s">
        <v>148</v>
      </c>
      <c r="E5" s="8" t="n">
        <f aca="false">IF($A5="","",SUMIFS($C:$C,$A:$A,$H5,$B:$B,"&gt;="&amp;INT($B5),$B:$B,"&lt;"&amp;(INT($B5)+1)))</f>
        <v>150</v>
      </c>
      <c r="F5" s="19" t="str">
        <f aca="false">IF($A5="","",IF(ISNA(MATCH($H5,Buffers!$AE:$AE,0)),"Not on Buffers",IF(NOT(ISNUMBER($B5)),"Needs a date",IF(INT($B5)&lt;PlanDate,"Past due",IF(INT($B5)=PlanDate,"Due today",IF(AND(INDEX(Buffers!$L:$L,MATCH($H5,Buffers!$AE:$AE,0))="Planned",$E5&gt;0,INT($B5)&lt;=PlanDate+ROUNDUP(IF(ISNUMBER(SpikeHorizon),SpikeHorizon,INDEX(Buffers!$D:$D,MATCH($H5,Buffers!$AE:$AE,0))),0),$E5&gt;=SpikePct*INDEX(Buffers!$P:$P,MATCH($H5,Buffers!$AE:$AE,0))),"Spike","Not qualified"))))))</f>
        <v>Spike</v>
      </c>
      <c r="G5" s="8" t="n">
        <f aca="false">IF($A5="","",IF(OR($F5="Past due",$F5="Due today",$F5="Spike"),$C5,0))</f>
        <v>150</v>
      </c>
      <c r="H5" s="8" t="str">
        <f aca="false">IF($A5="","",SUBSTITUTE(SUBSTITUTE(SUBSTITUTE($A5&amp;"","~","~~"),"*","~*"),"?","~?"))</f>
        <v>GRS-EP2-14</v>
      </c>
    </row>
    <row r="6" customFormat="false" ht="15" hidden="false" customHeight="false" outlineLevel="0" collapsed="false">
      <c r="A6" s="11" t="s">
        <v>122</v>
      </c>
      <c r="B6" s="6" t="n">
        <f aca="false">PlanDate-2</f>
        <v>46309</v>
      </c>
      <c r="C6" s="11" t="n">
        <v>10</v>
      </c>
      <c r="D6" s="11" t="s">
        <v>149</v>
      </c>
      <c r="E6" s="8" t="n">
        <f aca="false">IF($A6="","",SUMIFS($C:$C,$A:$A,$H6,$B:$B,"&gt;="&amp;INT($B6),$B:$B,"&lt;"&amp;(INT($B6)+1)))</f>
        <v>10</v>
      </c>
      <c r="F6" s="19" t="str">
        <f aca="false">IF($A6="","",IF(ISNA(MATCH($H6,Buffers!$AE:$AE,0)),"Not on Buffers",IF(NOT(ISNUMBER($B6)),"Needs a date",IF(INT($B6)&lt;PlanDate,"Past due",IF(INT($B6)=PlanDate,"Due today",IF(AND(INDEX(Buffers!$L:$L,MATCH($H6,Buffers!$AE:$AE,0))="Planned",$E6&gt;0,INT($B6)&lt;=PlanDate+ROUNDUP(IF(ISNUMBER(SpikeHorizon),SpikeHorizon,INDEX(Buffers!$D:$D,MATCH($H6,Buffers!$AE:$AE,0))),0),$E6&gt;=SpikePct*INDEX(Buffers!$P:$P,MATCH($H6,Buffers!$AE:$AE,0))),"Spike","Not qualified"))))))</f>
        <v>Past due</v>
      </c>
      <c r="G6" s="8" t="n">
        <f aca="false">IF($A6="","",IF(OR($F6="Past due",$F6="Due today",$F6="Spike"),$C6,0))</f>
        <v>10</v>
      </c>
      <c r="H6" s="8" t="str">
        <f aca="false">IF($A6="","",SUBSTITUTE(SUBSTITUTE(SUBSTITUTE($A6&amp;"","~","~~"),"*","~*"),"?","~?"))</f>
        <v>CPL-JAW-L100</v>
      </c>
    </row>
    <row r="7" customFormat="false" ht="15" hidden="false" customHeight="false" outlineLevel="0" collapsed="false">
      <c r="A7" s="11"/>
      <c r="B7" s="6"/>
      <c r="C7" s="11"/>
      <c r="D7" s="11"/>
      <c r="E7" s="8" t="str">
        <f aca="false">IF($A7="","",SUMIFS($C:$C,$A:$A,$H7,$B:$B,"&gt;="&amp;INT($B7),$B:$B,"&lt;"&amp;(INT($B7)+1)))</f>
        <v/>
      </c>
      <c r="F7" s="19" t="str">
        <f aca="false">IF($A7="","",IF(ISNA(MATCH($H7,Buffers!$AE:$AE,0)),"Not on Buffers",IF(NOT(ISNUMBER($B7)),"Needs a date",IF(INT($B7)&lt;PlanDate,"Past due",IF(INT($B7)=PlanDate,"Due today",IF(AND(INDEX(Buffers!$L:$L,MATCH($H7,Buffers!$AE:$AE,0))="Planned",$E7&gt;0,INT($B7)&lt;=PlanDate+ROUNDUP(IF(ISNUMBER(SpikeHorizon),SpikeHorizon,INDEX(Buffers!$D:$D,MATCH($H7,Buffers!$AE:$AE,0))),0),$E7&gt;=SpikePct*INDEX(Buffers!$P:$P,MATCH($H7,Buffers!$AE:$AE,0))),"Spike","Not qualified"))))))</f>
        <v/>
      </c>
      <c r="G7" s="8" t="str">
        <f aca="false">IF($A7="","",IF(OR($F7="Past due",$F7="Due today",$F7="Spike"),$C7,0))</f>
        <v/>
      </c>
      <c r="H7" s="8" t="str">
        <f aca="false">IF($A7="","",SUBSTITUTE(SUBSTITUTE(SUBSTITUTE($A7&amp;"","~","~~"),"*","~*"),"?","~?"))</f>
        <v/>
      </c>
    </row>
    <row r="8" customFormat="false" ht="15" hidden="false" customHeight="false" outlineLevel="0" collapsed="false">
      <c r="A8" s="11"/>
      <c r="B8" s="6"/>
      <c r="C8" s="11"/>
      <c r="D8" s="11"/>
      <c r="E8" s="8" t="str">
        <f aca="false">IF($A8="","",SUMIFS($C:$C,$A:$A,$H8,$B:$B,"&gt;="&amp;INT($B8),$B:$B,"&lt;"&amp;(INT($B8)+1)))</f>
        <v/>
      </c>
      <c r="F8" s="19" t="str">
        <f aca="false">IF($A8="","",IF(ISNA(MATCH($H8,Buffers!$AE:$AE,0)),"Not on Buffers",IF(NOT(ISNUMBER($B8)),"Needs a date",IF(INT($B8)&lt;PlanDate,"Past due",IF(INT($B8)=PlanDate,"Due today",IF(AND(INDEX(Buffers!$L:$L,MATCH($H8,Buffers!$AE:$AE,0))="Planned",$E8&gt;0,INT($B8)&lt;=PlanDate+ROUNDUP(IF(ISNUMBER(SpikeHorizon),SpikeHorizon,INDEX(Buffers!$D:$D,MATCH($H8,Buffers!$AE:$AE,0))),0),$E8&gt;=SpikePct*INDEX(Buffers!$P:$P,MATCH($H8,Buffers!$AE:$AE,0))),"Spike","Not qualified"))))))</f>
        <v/>
      </c>
      <c r="G8" s="8" t="str">
        <f aca="false">IF($A8="","",IF(OR($F8="Past due",$F8="Due today",$F8="Spike"),$C8,0))</f>
        <v/>
      </c>
      <c r="H8" s="8" t="str">
        <f aca="false">IF($A8="","",SUBSTITUTE(SUBSTITUTE(SUBSTITUTE($A8&amp;"","~","~~"),"*","~*"),"?","~?"))</f>
        <v/>
      </c>
    </row>
    <row r="9" customFormat="false" ht="15" hidden="false" customHeight="false" outlineLevel="0" collapsed="false">
      <c r="A9" s="11"/>
      <c r="B9" s="6"/>
      <c r="C9" s="11"/>
      <c r="D9" s="11"/>
      <c r="E9" s="8" t="str">
        <f aca="false">IF($A9="","",SUMIFS($C:$C,$A:$A,$H9,$B:$B,"&gt;="&amp;INT($B9),$B:$B,"&lt;"&amp;(INT($B9)+1)))</f>
        <v/>
      </c>
      <c r="F9" s="19" t="str">
        <f aca="false">IF($A9="","",IF(ISNA(MATCH($H9,Buffers!$AE:$AE,0)),"Not on Buffers",IF(NOT(ISNUMBER($B9)),"Needs a date",IF(INT($B9)&lt;PlanDate,"Past due",IF(INT($B9)=PlanDate,"Due today",IF(AND(INDEX(Buffers!$L:$L,MATCH($H9,Buffers!$AE:$AE,0))="Planned",$E9&gt;0,INT($B9)&lt;=PlanDate+ROUNDUP(IF(ISNUMBER(SpikeHorizon),SpikeHorizon,INDEX(Buffers!$D:$D,MATCH($H9,Buffers!$AE:$AE,0))),0),$E9&gt;=SpikePct*INDEX(Buffers!$P:$P,MATCH($H9,Buffers!$AE:$AE,0))),"Spike","Not qualified"))))))</f>
        <v/>
      </c>
      <c r="G9" s="8" t="str">
        <f aca="false">IF($A9="","",IF(OR($F9="Past due",$F9="Due today",$F9="Spike"),$C9,0))</f>
        <v/>
      </c>
      <c r="H9" s="8" t="str">
        <f aca="false">IF($A9="","",SUBSTITUTE(SUBSTITUTE(SUBSTITUTE($A9&amp;"","~","~~"),"*","~*"),"?","~?"))</f>
        <v/>
      </c>
    </row>
    <row r="10" customFormat="false" ht="15" hidden="false" customHeight="false" outlineLevel="0" collapsed="false">
      <c r="A10" s="11"/>
      <c r="B10" s="6"/>
      <c r="C10" s="11"/>
      <c r="D10" s="11"/>
      <c r="E10" s="8" t="str">
        <f aca="false">IF($A10="","",SUMIFS($C:$C,$A:$A,$H10,$B:$B,"&gt;="&amp;INT($B10),$B:$B,"&lt;"&amp;(INT($B10)+1)))</f>
        <v/>
      </c>
      <c r="F10" s="19" t="str">
        <f aca="false">IF($A10="","",IF(ISNA(MATCH($H10,Buffers!$AE:$AE,0)),"Not on Buffers",IF(NOT(ISNUMBER($B10)),"Needs a date",IF(INT($B10)&lt;PlanDate,"Past due",IF(INT($B10)=PlanDate,"Due today",IF(AND(INDEX(Buffers!$L:$L,MATCH($H10,Buffers!$AE:$AE,0))="Planned",$E10&gt;0,INT($B10)&lt;=PlanDate+ROUNDUP(IF(ISNUMBER(SpikeHorizon),SpikeHorizon,INDEX(Buffers!$D:$D,MATCH($H10,Buffers!$AE:$AE,0))),0),$E10&gt;=SpikePct*INDEX(Buffers!$P:$P,MATCH($H10,Buffers!$AE:$AE,0))),"Spike","Not qualified"))))))</f>
        <v/>
      </c>
      <c r="G10" s="8" t="str">
        <f aca="false">IF($A10="","",IF(OR($F10="Past due",$F10="Due today",$F10="Spike"),$C10,0))</f>
        <v/>
      </c>
      <c r="H10" s="8" t="str">
        <f aca="false">IF($A10="","",SUBSTITUTE(SUBSTITUTE(SUBSTITUTE($A10&amp;"","~","~~"),"*","~*"),"?","~?"))</f>
        <v/>
      </c>
    </row>
    <row r="11" customFormat="false" ht="15" hidden="false" customHeight="false" outlineLevel="0" collapsed="false">
      <c r="A11" s="11"/>
      <c r="B11" s="6"/>
      <c r="C11" s="11"/>
      <c r="D11" s="11"/>
      <c r="E11" s="8" t="str">
        <f aca="false">IF($A11="","",SUMIFS($C:$C,$A:$A,$H11,$B:$B,"&gt;="&amp;INT($B11),$B:$B,"&lt;"&amp;(INT($B11)+1)))</f>
        <v/>
      </c>
      <c r="F11" s="19" t="str">
        <f aca="false">IF($A11="","",IF(ISNA(MATCH($H11,Buffers!$AE:$AE,0)),"Not on Buffers",IF(NOT(ISNUMBER($B11)),"Needs a date",IF(INT($B11)&lt;PlanDate,"Past due",IF(INT($B11)=PlanDate,"Due today",IF(AND(INDEX(Buffers!$L:$L,MATCH($H11,Buffers!$AE:$AE,0))="Planned",$E11&gt;0,INT($B11)&lt;=PlanDate+ROUNDUP(IF(ISNUMBER(SpikeHorizon),SpikeHorizon,INDEX(Buffers!$D:$D,MATCH($H11,Buffers!$AE:$AE,0))),0),$E11&gt;=SpikePct*INDEX(Buffers!$P:$P,MATCH($H11,Buffers!$AE:$AE,0))),"Spike","Not qualified"))))))</f>
        <v/>
      </c>
      <c r="G11" s="8" t="str">
        <f aca="false">IF($A11="","",IF(OR($F11="Past due",$F11="Due today",$F11="Spike"),$C11,0))</f>
        <v/>
      </c>
      <c r="H11" s="8" t="str">
        <f aca="false">IF($A11="","",SUBSTITUTE(SUBSTITUTE(SUBSTITUTE($A11&amp;"","~","~~"),"*","~*"),"?","~?"))</f>
        <v/>
      </c>
    </row>
    <row r="12" customFormat="false" ht="15" hidden="false" customHeight="false" outlineLevel="0" collapsed="false">
      <c r="A12" s="11"/>
      <c r="B12" s="6"/>
      <c r="C12" s="11"/>
      <c r="D12" s="11"/>
      <c r="E12" s="8" t="str">
        <f aca="false">IF($A12="","",SUMIFS($C:$C,$A:$A,$H12,$B:$B,"&gt;="&amp;INT($B12),$B:$B,"&lt;"&amp;(INT($B12)+1)))</f>
        <v/>
      </c>
      <c r="F12" s="19" t="str">
        <f aca="false">IF($A12="","",IF(ISNA(MATCH($H12,Buffers!$AE:$AE,0)),"Not on Buffers",IF(NOT(ISNUMBER($B12)),"Needs a date",IF(INT($B12)&lt;PlanDate,"Past due",IF(INT($B12)=PlanDate,"Due today",IF(AND(INDEX(Buffers!$L:$L,MATCH($H12,Buffers!$AE:$AE,0))="Planned",$E12&gt;0,INT($B12)&lt;=PlanDate+ROUNDUP(IF(ISNUMBER(SpikeHorizon),SpikeHorizon,INDEX(Buffers!$D:$D,MATCH($H12,Buffers!$AE:$AE,0))),0),$E12&gt;=SpikePct*INDEX(Buffers!$P:$P,MATCH($H12,Buffers!$AE:$AE,0))),"Spike","Not qualified"))))))</f>
        <v/>
      </c>
      <c r="G12" s="8" t="str">
        <f aca="false">IF($A12="","",IF(OR($F12="Past due",$F12="Due today",$F12="Spike"),$C12,0))</f>
        <v/>
      </c>
      <c r="H12" s="8" t="str">
        <f aca="false">IF($A12="","",SUBSTITUTE(SUBSTITUTE(SUBSTITUTE($A12&amp;"","~","~~"),"*","~*"),"?","~?"))</f>
        <v/>
      </c>
    </row>
    <row r="13" customFormat="false" ht="15" hidden="false" customHeight="false" outlineLevel="0" collapsed="false">
      <c r="A13" s="11"/>
      <c r="B13" s="6"/>
      <c r="C13" s="11"/>
      <c r="D13" s="11"/>
      <c r="E13" s="8" t="str">
        <f aca="false">IF($A13="","",SUMIFS($C:$C,$A:$A,$H13,$B:$B,"&gt;="&amp;INT($B13),$B:$B,"&lt;"&amp;(INT($B13)+1)))</f>
        <v/>
      </c>
      <c r="F13" s="19" t="str">
        <f aca="false">IF($A13="","",IF(ISNA(MATCH($H13,Buffers!$AE:$AE,0)),"Not on Buffers",IF(NOT(ISNUMBER($B13)),"Needs a date",IF(INT($B13)&lt;PlanDate,"Past due",IF(INT($B13)=PlanDate,"Due today",IF(AND(INDEX(Buffers!$L:$L,MATCH($H13,Buffers!$AE:$AE,0))="Planned",$E13&gt;0,INT($B13)&lt;=PlanDate+ROUNDUP(IF(ISNUMBER(SpikeHorizon),SpikeHorizon,INDEX(Buffers!$D:$D,MATCH($H13,Buffers!$AE:$AE,0))),0),$E13&gt;=SpikePct*INDEX(Buffers!$P:$P,MATCH($H13,Buffers!$AE:$AE,0))),"Spike","Not qualified"))))))</f>
        <v/>
      </c>
      <c r="G13" s="8" t="str">
        <f aca="false">IF($A13="","",IF(OR($F13="Past due",$F13="Due today",$F13="Spike"),$C13,0))</f>
        <v/>
      </c>
      <c r="H13" s="8" t="str">
        <f aca="false">IF($A13="","",SUBSTITUTE(SUBSTITUTE(SUBSTITUTE($A13&amp;"","~","~~"),"*","~*"),"?","~?"))</f>
        <v/>
      </c>
    </row>
    <row r="14" customFormat="false" ht="15" hidden="false" customHeight="false" outlineLevel="0" collapsed="false">
      <c r="A14" s="11"/>
      <c r="B14" s="6"/>
      <c r="C14" s="11"/>
      <c r="D14" s="11"/>
      <c r="E14" s="8" t="str">
        <f aca="false">IF($A14="","",SUMIFS($C:$C,$A:$A,$H14,$B:$B,"&gt;="&amp;INT($B14),$B:$B,"&lt;"&amp;(INT($B14)+1)))</f>
        <v/>
      </c>
      <c r="F14" s="19" t="str">
        <f aca="false">IF($A14="","",IF(ISNA(MATCH($H14,Buffers!$AE:$AE,0)),"Not on Buffers",IF(NOT(ISNUMBER($B14)),"Needs a date",IF(INT($B14)&lt;PlanDate,"Past due",IF(INT($B14)=PlanDate,"Due today",IF(AND(INDEX(Buffers!$L:$L,MATCH($H14,Buffers!$AE:$AE,0))="Planned",$E14&gt;0,INT($B14)&lt;=PlanDate+ROUNDUP(IF(ISNUMBER(SpikeHorizon),SpikeHorizon,INDEX(Buffers!$D:$D,MATCH($H14,Buffers!$AE:$AE,0))),0),$E14&gt;=SpikePct*INDEX(Buffers!$P:$P,MATCH($H14,Buffers!$AE:$AE,0))),"Spike","Not qualified"))))))</f>
        <v/>
      </c>
      <c r="G14" s="8" t="str">
        <f aca="false">IF($A14="","",IF(OR($F14="Past due",$F14="Due today",$F14="Spike"),$C14,0))</f>
        <v/>
      </c>
      <c r="H14" s="8" t="str">
        <f aca="false">IF($A14="","",SUBSTITUTE(SUBSTITUTE(SUBSTITUTE($A14&amp;"","~","~~"),"*","~*"),"?","~?"))</f>
        <v/>
      </c>
    </row>
    <row r="15" customFormat="false" ht="15" hidden="false" customHeight="false" outlineLevel="0" collapsed="false">
      <c r="A15" s="11"/>
      <c r="B15" s="6"/>
      <c r="C15" s="11"/>
      <c r="D15" s="11"/>
      <c r="E15" s="8" t="str">
        <f aca="false">IF($A15="","",SUMIFS($C:$C,$A:$A,$H15,$B:$B,"&gt;="&amp;INT($B15),$B:$B,"&lt;"&amp;(INT($B15)+1)))</f>
        <v/>
      </c>
      <c r="F15" s="19" t="str">
        <f aca="false">IF($A15="","",IF(ISNA(MATCH($H15,Buffers!$AE:$AE,0)),"Not on Buffers",IF(NOT(ISNUMBER($B15)),"Needs a date",IF(INT($B15)&lt;PlanDate,"Past due",IF(INT($B15)=PlanDate,"Due today",IF(AND(INDEX(Buffers!$L:$L,MATCH($H15,Buffers!$AE:$AE,0))="Planned",$E15&gt;0,INT($B15)&lt;=PlanDate+ROUNDUP(IF(ISNUMBER(SpikeHorizon),SpikeHorizon,INDEX(Buffers!$D:$D,MATCH($H15,Buffers!$AE:$AE,0))),0),$E15&gt;=SpikePct*INDEX(Buffers!$P:$P,MATCH($H15,Buffers!$AE:$AE,0))),"Spike","Not qualified"))))))</f>
        <v/>
      </c>
      <c r="G15" s="8" t="str">
        <f aca="false">IF($A15="","",IF(OR($F15="Past due",$F15="Due today",$F15="Spike"),$C15,0))</f>
        <v/>
      </c>
      <c r="H15" s="8" t="str">
        <f aca="false">IF($A15="","",SUBSTITUTE(SUBSTITUTE(SUBSTITUTE($A15&amp;"","~","~~"),"*","~*"),"?","~?"))</f>
        <v/>
      </c>
    </row>
    <row r="16" customFormat="false" ht="15" hidden="false" customHeight="false" outlineLevel="0" collapsed="false">
      <c r="A16" s="11"/>
      <c r="B16" s="6"/>
      <c r="C16" s="11"/>
      <c r="D16" s="11"/>
      <c r="E16" s="8" t="str">
        <f aca="false">IF($A16="","",SUMIFS($C:$C,$A:$A,$H16,$B:$B,"&gt;="&amp;INT($B16),$B:$B,"&lt;"&amp;(INT($B16)+1)))</f>
        <v/>
      </c>
      <c r="F16" s="19" t="str">
        <f aca="false">IF($A16="","",IF(ISNA(MATCH($H16,Buffers!$AE:$AE,0)),"Not on Buffers",IF(NOT(ISNUMBER($B16)),"Needs a date",IF(INT($B16)&lt;PlanDate,"Past due",IF(INT($B16)=PlanDate,"Due today",IF(AND(INDEX(Buffers!$L:$L,MATCH($H16,Buffers!$AE:$AE,0))="Planned",$E16&gt;0,INT($B16)&lt;=PlanDate+ROUNDUP(IF(ISNUMBER(SpikeHorizon),SpikeHorizon,INDEX(Buffers!$D:$D,MATCH($H16,Buffers!$AE:$AE,0))),0),$E16&gt;=SpikePct*INDEX(Buffers!$P:$P,MATCH($H16,Buffers!$AE:$AE,0))),"Spike","Not qualified"))))))</f>
        <v/>
      </c>
      <c r="G16" s="8" t="str">
        <f aca="false">IF($A16="","",IF(OR($F16="Past due",$F16="Due today",$F16="Spike"),$C16,0))</f>
        <v/>
      </c>
      <c r="H16" s="8" t="str">
        <f aca="false">IF($A16="","",SUBSTITUTE(SUBSTITUTE(SUBSTITUTE($A16&amp;"","~","~~"),"*","~*"),"?","~?"))</f>
        <v/>
      </c>
    </row>
    <row r="17" customFormat="false" ht="15" hidden="false" customHeight="false" outlineLevel="0" collapsed="false">
      <c r="A17" s="11"/>
      <c r="B17" s="6"/>
      <c r="C17" s="11"/>
      <c r="D17" s="11"/>
      <c r="E17" s="8" t="str">
        <f aca="false">IF($A17="","",SUMIFS($C:$C,$A:$A,$H17,$B:$B,"&gt;="&amp;INT($B17),$B:$B,"&lt;"&amp;(INT($B17)+1)))</f>
        <v/>
      </c>
      <c r="F17" s="19" t="str">
        <f aca="false">IF($A17="","",IF(ISNA(MATCH($H17,Buffers!$AE:$AE,0)),"Not on Buffers",IF(NOT(ISNUMBER($B17)),"Needs a date",IF(INT($B17)&lt;PlanDate,"Past due",IF(INT($B17)=PlanDate,"Due today",IF(AND(INDEX(Buffers!$L:$L,MATCH($H17,Buffers!$AE:$AE,0))="Planned",$E17&gt;0,INT($B17)&lt;=PlanDate+ROUNDUP(IF(ISNUMBER(SpikeHorizon),SpikeHorizon,INDEX(Buffers!$D:$D,MATCH($H17,Buffers!$AE:$AE,0))),0),$E17&gt;=SpikePct*INDEX(Buffers!$P:$P,MATCH($H17,Buffers!$AE:$AE,0))),"Spike","Not qualified"))))))</f>
        <v/>
      </c>
      <c r="G17" s="8" t="str">
        <f aca="false">IF($A17="","",IF(OR($F17="Past due",$F17="Due today",$F17="Spike"),$C17,0))</f>
        <v/>
      </c>
      <c r="H17" s="8" t="str">
        <f aca="false">IF($A17="","",SUBSTITUTE(SUBSTITUTE(SUBSTITUTE($A17&amp;"","~","~~"),"*","~*"),"?","~?"))</f>
        <v/>
      </c>
    </row>
    <row r="18" customFormat="false" ht="15" hidden="false" customHeight="false" outlineLevel="0" collapsed="false">
      <c r="A18" s="11"/>
      <c r="B18" s="6"/>
      <c r="C18" s="11"/>
      <c r="D18" s="11"/>
      <c r="E18" s="8" t="str">
        <f aca="false">IF($A18="","",SUMIFS($C:$C,$A:$A,$H18,$B:$B,"&gt;="&amp;INT($B18),$B:$B,"&lt;"&amp;(INT($B18)+1)))</f>
        <v/>
      </c>
      <c r="F18" s="19" t="str">
        <f aca="false">IF($A18="","",IF(ISNA(MATCH($H18,Buffers!$AE:$AE,0)),"Not on Buffers",IF(NOT(ISNUMBER($B18)),"Needs a date",IF(INT($B18)&lt;PlanDate,"Past due",IF(INT($B18)=PlanDate,"Due today",IF(AND(INDEX(Buffers!$L:$L,MATCH($H18,Buffers!$AE:$AE,0))="Planned",$E18&gt;0,INT($B18)&lt;=PlanDate+ROUNDUP(IF(ISNUMBER(SpikeHorizon),SpikeHorizon,INDEX(Buffers!$D:$D,MATCH($H18,Buffers!$AE:$AE,0))),0),$E18&gt;=SpikePct*INDEX(Buffers!$P:$P,MATCH($H18,Buffers!$AE:$AE,0))),"Spike","Not qualified"))))))</f>
        <v/>
      </c>
      <c r="G18" s="8" t="str">
        <f aca="false">IF($A18="","",IF(OR($F18="Past due",$F18="Due today",$F18="Spike"),$C18,0))</f>
        <v/>
      </c>
      <c r="H18" s="8" t="str">
        <f aca="false">IF($A18="","",SUBSTITUTE(SUBSTITUTE(SUBSTITUTE($A18&amp;"","~","~~"),"*","~*"),"?","~?"))</f>
        <v/>
      </c>
    </row>
    <row r="19" customFormat="false" ht="15" hidden="false" customHeight="false" outlineLevel="0" collapsed="false">
      <c r="A19" s="11"/>
      <c r="B19" s="6"/>
      <c r="C19" s="11"/>
      <c r="D19" s="11"/>
      <c r="E19" s="8" t="str">
        <f aca="false">IF($A19="","",SUMIFS($C:$C,$A:$A,$H19,$B:$B,"&gt;="&amp;INT($B19),$B:$B,"&lt;"&amp;(INT($B19)+1)))</f>
        <v/>
      </c>
      <c r="F19" s="19" t="str">
        <f aca="false">IF($A19="","",IF(ISNA(MATCH($H19,Buffers!$AE:$AE,0)),"Not on Buffers",IF(NOT(ISNUMBER($B19)),"Needs a date",IF(INT($B19)&lt;PlanDate,"Past due",IF(INT($B19)=PlanDate,"Due today",IF(AND(INDEX(Buffers!$L:$L,MATCH($H19,Buffers!$AE:$AE,0))="Planned",$E19&gt;0,INT($B19)&lt;=PlanDate+ROUNDUP(IF(ISNUMBER(SpikeHorizon),SpikeHorizon,INDEX(Buffers!$D:$D,MATCH($H19,Buffers!$AE:$AE,0))),0),$E19&gt;=SpikePct*INDEX(Buffers!$P:$P,MATCH($H19,Buffers!$AE:$AE,0))),"Spike","Not qualified"))))))</f>
        <v/>
      </c>
      <c r="G19" s="8" t="str">
        <f aca="false">IF($A19="","",IF(OR($F19="Past due",$F19="Due today",$F19="Spike"),$C19,0))</f>
        <v/>
      </c>
      <c r="H19" s="8" t="str">
        <f aca="false">IF($A19="","",SUBSTITUTE(SUBSTITUTE(SUBSTITUTE($A19&amp;"","~","~~"),"*","~*"),"?","~?"))</f>
        <v/>
      </c>
    </row>
    <row r="20" customFormat="false" ht="15" hidden="false" customHeight="false" outlineLevel="0" collapsed="false">
      <c r="A20" s="11"/>
      <c r="B20" s="6"/>
      <c r="C20" s="11"/>
      <c r="D20" s="11"/>
      <c r="E20" s="8" t="str">
        <f aca="false">IF($A20="","",SUMIFS($C:$C,$A:$A,$H20,$B:$B,"&gt;="&amp;INT($B20),$B:$B,"&lt;"&amp;(INT($B20)+1)))</f>
        <v/>
      </c>
      <c r="F20" s="19" t="str">
        <f aca="false">IF($A20="","",IF(ISNA(MATCH($H20,Buffers!$AE:$AE,0)),"Not on Buffers",IF(NOT(ISNUMBER($B20)),"Needs a date",IF(INT($B20)&lt;PlanDate,"Past due",IF(INT($B20)=PlanDate,"Due today",IF(AND(INDEX(Buffers!$L:$L,MATCH($H20,Buffers!$AE:$AE,0))="Planned",$E20&gt;0,INT($B20)&lt;=PlanDate+ROUNDUP(IF(ISNUMBER(SpikeHorizon),SpikeHorizon,INDEX(Buffers!$D:$D,MATCH($H20,Buffers!$AE:$AE,0))),0),$E20&gt;=SpikePct*INDEX(Buffers!$P:$P,MATCH($H20,Buffers!$AE:$AE,0))),"Spike","Not qualified"))))))</f>
        <v/>
      </c>
      <c r="G20" s="8" t="str">
        <f aca="false">IF($A20="","",IF(OR($F20="Past due",$F20="Due today",$F20="Spike"),$C20,0))</f>
        <v/>
      </c>
      <c r="H20" s="8" t="str">
        <f aca="false">IF($A20="","",SUBSTITUTE(SUBSTITUTE(SUBSTITUTE($A20&amp;"","~","~~"),"*","~*"),"?","~?"))</f>
        <v/>
      </c>
    </row>
    <row r="21" customFormat="false" ht="15" hidden="false" customHeight="false" outlineLevel="0" collapsed="false">
      <c r="A21" s="11"/>
      <c r="B21" s="6"/>
      <c r="C21" s="11"/>
      <c r="D21" s="11"/>
      <c r="E21" s="8" t="str">
        <f aca="false">IF($A21="","",SUMIFS($C:$C,$A:$A,$H21,$B:$B,"&gt;="&amp;INT($B21),$B:$B,"&lt;"&amp;(INT($B21)+1)))</f>
        <v/>
      </c>
      <c r="F21" s="19" t="str">
        <f aca="false">IF($A21="","",IF(ISNA(MATCH($H21,Buffers!$AE:$AE,0)),"Not on Buffers",IF(NOT(ISNUMBER($B21)),"Needs a date",IF(INT($B21)&lt;PlanDate,"Past due",IF(INT($B21)=PlanDate,"Due today",IF(AND(INDEX(Buffers!$L:$L,MATCH($H21,Buffers!$AE:$AE,0))="Planned",$E21&gt;0,INT($B21)&lt;=PlanDate+ROUNDUP(IF(ISNUMBER(SpikeHorizon),SpikeHorizon,INDEX(Buffers!$D:$D,MATCH($H21,Buffers!$AE:$AE,0))),0),$E21&gt;=SpikePct*INDEX(Buffers!$P:$P,MATCH($H21,Buffers!$AE:$AE,0))),"Spike","Not qualified"))))))</f>
        <v/>
      </c>
      <c r="G21" s="8" t="str">
        <f aca="false">IF($A21="","",IF(OR($F21="Past due",$F21="Due today",$F21="Spike"),$C21,0))</f>
        <v/>
      </c>
      <c r="H21" s="8" t="str">
        <f aca="false">IF($A21="","",SUBSTITUTE(SUBSTITUTE(SUBSTITUTE($A21&amp;"","~","~~"),"*","~*"),"?","~?"))</f>
        <v/>
      </c>
    </row>
    <row r="22" customFormat="false" ht="15" hidden="false" customHeight="false" outlineLevel="0" collapsed="false">
      <c r="A22" s="11"/>
      <c r="B22" s="6"/>
      <c r="C22" s="11"/>
      <c r="D22" s="11"/>
      <c r="E22" s="8" t="str">
        <f aca="false">IF($A22="","",SUMIFS($C:$C,$A:$A,$H22,$B:$B,"&gt;="&amp;INT($B22),$B:$B,"&lt;"&amp;(INT($B22)+1)))</f>
        <v/>
      </c>
      <c r="F22" s="19" t="str">
        <f aca="false">IF($A22="","",IF(ISNA(MATCH($H22,Buffers!$AE:$AE,0)),"Not on Buffers",IF(NOT(ISNUMBER($B22)),"Needs a date",IF(INT($B22)&lt;PlanDate,"Past due",IF(INT($B22)=PlanDate,"Due today",IF(AND(INDEX(Buffers!$L:$L,MATCH($H22,Buffers!$AE:$AE,0))="Planned",$E22&gt;0,INT($B22)&lt;=PlanDate+ROUNDUP(IF(ISNUMBER(SpikeHorizon),SpikeHorizon,INDEX(Buffers!$D:$D,MATCH($H22,Buffers!$AE:$AE,0))),0),$E22&gt;=SpikePct*INDEX(Buffers!$P:$P,MATCH($H22,Buffers!$AE:$AE,0))),"Spike","Not qualified"))))))</f>
        <v/>
      </c>
      <c r="G22" s="8" t="str">
        <f aca="false">IF($A22="","",IF(OR($F22="Past due",$F22="Due today",$F22="Spike"),$C22,0))</f>
        <v/>
      </c>
      <c r="H22" s="8" t="str">
        <f aca="false">IF($A22="","",SUBSTITUTE(SUBSTITUTE(SUBSTITUTE($A22&amp;"","~","~~"),"*","~*"),"?","~?"))</f>
        <v/>
      </c>
    </row>
    <row r="23" customFormat="false" ht="15" hidden="false" customHeight="false" outlineLevel="0" collapsed="false">
      <c r="A23" s="11"/>
      <c r="B23" s="6"/>
      <c r="C23" s="11"/>
      <c r="D23" s="11"/>
      <c r="E23" s="8" t="str">
        <f aca="false">IF($A23="","",SUMIFS($C:$C,$A:$A,$H23,$B:$B,"&gt;="&amp;INT($B23),$B:$B,"&lt;"&amp;(INT($B23)+1)))</f>
        <v/>
      </c>
      <c r="F23" s="19" t="str">
        <f aca="false">IF($A23="","",IF(ISNA(MATCH($H23,Buffers!$AE:$AE,0)),"Not on Buffers",IF(NOT(ISNUMBER($B23)),"Needs a date",IF(INT($B23)&lt;PlanDate,"Past due",IF(INT($B23)=PlanDate,"Due today",IF(AND(INDEX(Buffers!$L:$L,MATCH($H23,Buffers!$AE:$AE,0))="Planned",$E23&gt;0,INT($B23)&lt;=PlanDate+ROUNDUP(IF(ISNUMBER(SpikeHorizon),SpikeHorizon,INDEX(Buffers!$D:$D,MATCH($H23,Buffers!$AE:$AE,0))),0),$E23&gt;=SpikePct*INDEX(Buffers!$P:$P,MATCH($H23,Buffers!$AE:$AE,0))),"Spike","Not qualified"))))))</f>
        <v/>
      </c>
      <c r="G23" s="8" t="str">
        <f aca="false">IF($A23="","",IF(OR($F23="Past due",$F23="Due today",$F23="Spike"),$C23,0))</f>
        <v/>
      </c>
      <c r="H23" s="8" t="str">
        <f aca="false">IF($A23="","",SUBSTITUTE(SUBSTITUTE(SUBSTITUTE($A23&amp;"","~","~~"),"*","~*"),"?","~?"))</f>
        <v/>
      </c>
    </row>
    <row r="24" customFormat="false" ht="15" hidden="false" customHeight="false" outlineLevel="0" collapsed="false">
      <c r="A24" s="11"/>
      <c r="B24" s="6"/>
      <c r="C24" s="11"/>
      <c r="D24" s="11"/>
      <c r="E24" s="8" t="str">
        <f aca="false">IF($A24="","",SUMIFS($C:$C,$A:$A,$H24,$B:$B,"&gt;="&amp;INT($B24),$B:$B,"&lt;"&amp;(INT($B24)+1)))</f>
        <v/>
      </c>
      <c r="F24" s="19" t="str">
        <f aca="false">IF($A24="","",IF(ISNA(MATCH($H24,Buffers!$AE:$AE,0)),"Not on Buffers",IF(NOT(ISNUMBER($B24)),"Needs a date",IF(INT($B24)&lt;PlanDate,"Past due",IF(INT($B24)=PlanDate,"Due today",IF(AND(INDEX(Buffers!$L:$L,MATCH($H24,Buffers!$AE:$AE,0))="Planned",$E24&gt;0,INT($B24)&lt;=PlanDate+ROUNDUP(IF(ISNUMBER(SpikeHorizon),SpikeHorizon,INDEX(Buffers!$D:$D,MATCH($H24,Buffers!$AE:$AE,0))),0),$E24&gt;=SpikePct*INDEX(Buffers!$P:$P,MATCH($H24,Buffers!$AE:$AE,0))),"Spike","Not qualified"))))))</f>
        <v/>
      </c>
      <c r="G24" s="8" t="str">
        <f aca="false">IF($A24="","",IF(OR($F24="Past due",$F24="Due today",$F24="Spike"),$C24,0))</f>
        <v/>
      </c>
      <c r="H24" s="8" t="str">
        <f aca="false">IF($A24="","",SUBSTITUTE(SUBSTITUTE(SUBSTITUTE($A24&amp;"","~","~~"),"*","~*"),"?","~?"))</f>
        <v/>
      </c>
    </row>
    <row r="25" customFormat="false" ht="15" hidden="false" customHeight="false" outlineLevel="0" collapsed="false">
      <c r="A25" s="11"/>
      <c r="B25" s="6"/>
      <c r="C25" s="11"/>
      <c r="D25" s="11"/>
      <c r="E25" s="8" t="str">
        <f aca="false">IF($A25="","",SUMIFS($C:$C,$A:$A,$H25,$B:$B,"&gt;="&amp;INT($B25),$B:$B,"&lt;"&amp;(INT($B25)+1)))</f>
        <v/>
      </c>
      <c r="F25" s="19" t="str">
        <f aca="false">IF($A25="","",IF(ISNA(MATCH($H25,Buffers!$AE:$AE,0)),"Not on Buffers",IF(NOT(ISNUMBER($B25)),"Needs a date",IF(INT($B25)&lt;PlanDate,"Past due",IF(INT($B25)=PlanDate,"Due today",IF(AND(INDEX(Buffers!$L:$L,MATCH($H25,Buffers!$AE:$AE,0))="Planned",$E25&gt;0,INT($B25)&lt;=PlanDate+ROUNDUP(IF(ISNUMBER(SpikeHorizon),SpikeHorizon,INDEX(Buffers!$D:$D,MATCH($H25,Buffers!$AE:$AE,0))),0),$E25&gt;=SpikePct*INDEX(Buffers!$P:$P,MATCH($H25,Buffers!$AE:$AE,0))),"Spike","Not qualified"))))))</f>
        <v/>
      </c>
      <c r="G25" s="8" t="str">
        <f aca="false">IF($A25="","",IF(OR($F25="Past due",$F25="Due today",$F25="Spike"),$C25,0))</f>
        <v/>
      </c>
      <c r="H25" s="8" t="str">
        <f aca="false">IF($A25="","",SUBSTITUTE(SUBSTITUTE(SUBSTITUTE($A25&amp;"","~","~~"),"*","~*"),"?","~?"))</f>
        <v/>
      </c>
    </row>
    <row r="26" customFormat="false" ht="15" hidden="false" customHeight="false" outlineLevel="0" collapsed="false">
      <c r="A26" s="11"/>
      <c r="B26" s="6"/>
      <c r="C26" s="11"/>
      <c r="D26" s="11"/>
      <c r="E26" s="8" t="str">
        <f aca="false">IF($A26="","",SUMIFS($C:$C,$A:$A,$H26,$B:$B,"&gt;="&amp;INT($B26),$B:$B,"&lt;"&amp;(INT($B26)+1)))</f>
        <v/>
      </c>
      <c r="F26" s="19" t="str">
        <f aca="false">IF($A26="","",IF(ISNA(MATCH($H26,Buffers!$AE:$AE,0)),"Not on Buffers",IF(NOT(ISNUMBER($B26)),"Needs a date",IF(INT($B26)&lt;PlanDate,"Past due",IF(INT($B26)=PlanDate,"Due today",IF(AND(INDEX(Buffers!$L:$L,MATCH($H26,Buffers!$AE:$AE,0))="Planned",$E26&gt;0,INT($B26)&lt;=PlanDate+ROUNDUP(IF(ISNUMBER(SpikeHorizon),SpikeHorizon,INDEX(Buffers!$D:$D,MATCH($H26,Buffers!$AE:$AE,0))),0),$E26&gt;=SpikePct*INDEX(Buffers!$P:$P,MATCH($H26,Buffers!$AE:$AE,0))),"Spike","Not qualified"))))))</f>
        <v/>
      </c>
      <c r="G26" s="8" t="str">
        <f aca="false">IF($A26="","",IF(OR($F26="Past due",$F26="Due today",$F26="Spike"),$C26,0))</f>
        <v/>
      </c>
      <c r="H26" s="8" t="str">
        <f aca="false">IF($A26="","",SUBSTITUTE(SUBSTITUTE(SUBSTITUTE($A26&amp;"","~","~~"),"*","~*"),"?","~?"))</f>
        <v/>
      </c>
    </row>
    <row r="27" customFormat="false" ht="15" hidden="false" customHeight="false" outlineLevel="0" collapsed="false">
      <c r="A27" s="11"/>
      <c r="B27" s="6"/>
      <c r="C27" s="11"/>
      <c r="D27" s="11"/>
      <c r="E27" s="8" t="str">
        <f aca="false">IF($A27="","",SUMIFS($C:$C,$A:$A,$H27,$B:$B,"&gt;="&amp;INT($B27),$B:$B,"&lt;"&amp;(INT($B27)+1)))</f>
        <v/>
      </c>
      <c r="F27" s="19" t="str">
        <f aca="false">IF($A27="","",IF(ISNA(MATCH($H27,Buffers!$AE:$AE,0)),"Not on Buffers",IF(NOT(ISNUMBER($B27)),"Needs a date",IF(INT($B27)&lt;PlanDate,"Past due",IF(INT($B27)=PlanDate,"Due today",IF(AND(INDEX(Buffers!$L:$L,MATCH($H27,Buffers!$AE:$AE,0))="Planned",$E27&gt;0,INT($B27)&lt;=PlanDate+ROUNDUP(IF(ISNUMBER(SpikeHorizon),SpikeHorizon,INDEX(Buffers!$D:$D,MATCH($H27,Buffers!$AE:$AE,0))),0),$E27&gt;=SpikePct*INDEX(Buffers!$P:$P,MATCH($H27,Buffers!$AE:$AE,0))),"Spike","Not qualified"))))))</f>
        <v/>
      </c>
      <c r="G27" s="8" t="str">
        <f aca="false">IF($A27="","",IF(OR($F27="Past due",$F27="Due today",$F27="Spike"),$C27,0))</f>
        <v/>
      </c>
      <c r="H27" s="8" t="str">
        <f aca="false">IF($A27="","",SUBSTITUTE(SUBSTITUTE(SUBSTITUTE($A27&amp;"","~","~~"),"*","~*"),"?","~?"))</f>
        <v/>
      </c>
    </row>
    <row r="28" customFormat="false" ht="15" hidden="false" customHeight="false" outlineLevel="0" collapsed="false">
      <c r="A28" s="11"/>
      <c r="B28" s="6"/>
      <c r="C28" s="11"/>
      <c r="D28" s="11"/>
      <c r="E28" s="8" t="str">
        <f aca="false">IF($A28="","",SUMIFS($C:$C,$A:$A,$H28,$B:$B,"&gt;="&amp;INT($B28),$B:$B,"&lt;"&amp;(INT($B28)+1)))</f>
        <v/>
      </c>
      <c r="F28" s="19" t="str">
        <f aca="false">IF($A28="","",IF(ISNA(MATCH($H28,Buffers!$AE:$AE,0)),"Not on Buffers",IF(NOT(ISNUMBER($B28)),"Needs a date",IF(INT($B28)&lt;PlanDate,"Past due",IF(INT($B28)=PlanDate,"Due today",IF(AND(INDEX(Buffers!$L:$L,MATCH($H28,Buffers!$AE:$AE,0))="Planned",$E28&gt;0,INT($B28)&lt;=PlanDate+ROUNDUP(IF(ISNUMBER(SpikeHorizon),SpikeHorizon,INDEX(Buffers!$D:$D,MATCH($H28,Buffers!$AE:$AE,0))),0),$E28&gt;=SpikePct*INDEX(Buffers!$P:$P,MATCH($H28,Buffers!$AE:$AE,0))),"Spike","Not qualified"))))))</f>
        <v/>
      </c>
      <c r="G28" s="8" t="str">
        <f aca="false">IF($A28="","",IF(OR($F28="Past due",$F28="Due today",$F28="Spike"),$C28,0))</f>
        <v/>
      </c>
      <c r="H28" s="8" t="str">
        <f aca="false">IF($A28="","",SUBSTITUTE(SUBSTITUTE(SUBSTITUTE($A28&amp;"","~","~~"),"*","~*"),"?","~?"))</f>
        <v/>
      </c>
    </row>
    <row r="29" customFormat="false" ht="15" hidden="false" customHeight="false" outlineLevel="0" collapsed="false">
      <c r="A29" s="11"/>
      <c r="B29" s="6"/>
      <c r="C29" s="11"/>
      <c r="D29" s="11"/>
      <c r="E29" s="8" t="str">
        <f aca="false">IF($A29="","",SUMIFS($C:$C,$A:$A,$H29,$B:$B,"&gt;="&amp;INT($B29),$B:$B,"&lt;"&amp;(INT($B29)+1)))</f>
        <v/>
      </c>
      <c r="F29" s="19" t="str">
        <f aca="false">IF($A29="","",IF(ISNA(MATCH($H29,Buffers!$AE:$AE,0)),"Not on Buffers",IF(NOT(ISNUMBER($B29)),"Needs a date",IF(INT($B29)&lt;PlanDate,"Past due",IF(INT($B29)=PlanDate,"Due today",IF(AND(INDEX(Buffers!$L:$L,MATCH($H29,Buffers!$AE:$AE,0))="Planned",$E29&gt;0,INT($B29)&lt;=PlanDate+ROUNDUP(IF(ISNUMBER(SpikeHorizon),SpikeHorizon,INDEX(Buffers!$D:$D,MATCH($H29,Buffers!$AE:$AE,0))),0),$E29&gt;=SpikePct*INDEX(Buffers!$P:$P,MATCH($H29,Buffers!$AE:$AE,0))),"Spike","Not qualified"))))))</f>
        <v/>
      </c>
      <c r="G29" s="8" t="str">
        <f aca="false">IF($A29="","",IF(OR($F29="Past due",$F29="Due today",$F29="Spike"),$C29,0))</f>
        <v/>
      </c>
      <c r="H29" s="8" t="str">
        <f aca="false">IF($A29="","",SUBSTITUTE(SUBSTITUTE(SUBSTITUTE($A29&amp;"","~","~~"),"*","~*"),"?","~?"))</f>
        <v/>
      </c>
    </row>
    <row r="30" customFormat="false" ht="15" hidden="false" customHeight="false" outlineLevel="0" collapsed="false">
      <c r="A30" s="11"/>
      <c r="B30" s="6"/>
      <c r="C30" s="11"/>
      <c r="D30" s="11"/>
      <c r="E30" s="8" t="str">
        <f aca="false">IF($A30="","",SUMIFS($C:$C,$A:$A,$H30,$B:$B,"&gt;="&amp;INT($B30),$B:$B,"&lt;"&amp;(INT($B30)+1)))</f>
        <v/>
      </c>
      <c r="F30" s="19" t="str">
        <f aca="false">IF($A30="","",IF(ISNA(MATCH($H30,Buffers!$AE:$AE,0)),"Not on Buffers",IF(NOT(ISNUMBER($B30)),"Needs a date",IF(INT($B30)&lt;PlanDate,"Past due",IF(INT($B30)=PlanDate,"Due today",IF(AND(INDEX(Buffers!$L:$L,MATCH($H30,Buffers!$AE:$AE,0))="Planned",$E30&gt;0,INT($B30)&lt;=PlanDate+ROUNDUP(IF(ISNUMBER(SpikeHorizon),SpikeHorizon,INDEX(Buffers!$D:$D,MATCH($H30,Buffers!$AE:$AE,0))),0),$E30&gt;=SpikePct*INDEX(Buffers!$P:$P,MATCH($H30,Buffers!$AE:$AE,0))),"Spike","Not qualified"))))))</f>
        <v/>
      </c>
      <c r="G30" s="8" t="str">
        <f aca="false">IF($A30="","",IF(OR($F30="Past due",$F30="Due today",$F30="Spike"),$C30,0))</f>
        <v/>
      </c>
      <c r="H30" s="8" t="str">
        <f aca="false">IF($A30="","",SUBSTITUTE(SUBSTITUTE(SUBSTITUTE($A30&amp;"","~","~~"),"*","~*"),"?","~?"))</f>
        <v/>
      </c>
    </row>
    <row r="31" customFormat="false" ht="15" hidden="false" customHeight="false" outlineLevel="0" collapsed="false">
      <c r="A31" s="11"/>
      <c r="B31" s="6"/>
      <c r="C31" s="11"/>
      <c r="D31" s="11"/>
      <c r="E31" s="8" t="str">
        <f aca="false">IF($A31="","",SUMIFS($C:$C,$A:$A,$H31,$B:$B,"&gt;="&amp;INT($B31),$B:$B,"&lt;"&amp;(INT($B31)+1)))</f>
        <v/>
      </c>
      <c r="F31" s="19" t="str">
        <f aca="false">IF($A31="","",IF(ISNA(MATCH($H31,Buffers!$AE:$AE,0)),"Not on Buffers",IF(NOT(ISNUMBER($B31)),"Needs a date",IF(INT($B31)&lt;PlanDate,"Past due",IF(INT($B31)=PlanDate,"Due today",IF(AND(INDEX(Buffers!$L:$L,MATCH($H31,Buffers!$AE:$AE,0))="Planned",$E31&gt;0,INT($B31)&lt;=PlanDate+ROUNDUP(IF(ISNUMBER(SpikeHorizon),SpikeHorizon,INDEX(Buffers!$D:$D,MATCH($H31,Buffers!$AE:$AE,0))),0),$E31&gt;=SpikePct*INDEX(Buffers!$P:$P,MATCH($H31,Buffers!$AE:$AE,0))),"Spike","Not qualified"))))))</f>
        <v/>
      </c>
      <c r="G31" s="8" t="str">
        <f aca="false">IF($A31="","",IF(OR($F31="Past due",$F31="Due today",$F31="Spike"),$C31,0))</f>
        <v/>
      </c>
      <c r="H31" s="8" t="str">
        <f aca="false">IF($A31="","",SUBSTITUTE(SUBSTITUTE(SUBSTITUTE($A31&amp;"","~","~~"),"*","~*"),"?","~?"))</f>
        <v/>
      </c>
    </row>
    <row r="32" customFormat="false" ht="15" hidden="false" customHeight="false" outlineLevel="0" collapsed="false">
      <c r="A32" s="11"/>
      <c r="B32" s="6"/>
      <c r="C32" s="11"/>
      <c r="D32" s="11"/>
      <c r="E32" s="8" t="str">
        <f aca="false">IF($A32="","",SUMIFS($C:$C,$A:$A,$H32,$B:$B,"&gt;="&amp;INT($B32),$B:$B,"&lt;"&amp;(INT($B32)+1)))</f>
        <v/>
      </c>
      <c r="F32" s="19" t="str">
        <f aca="false">IF($A32="","",IF(ISNA(MATCH($H32,Buffers!$AE:$AE,0)),"Not on Buffers",IF(NOT(ISNUMBER($B32)),"Needs a date",IF(INT($B32)&lt;PlanDate,"Past due",IF(INT($B32)=PlanDate,"Due today",IF(AND(INDEX(Buffers!$L:$L,MATCH($H32,Buffers!$AE:$AE,0))="Planned",$E32&gt;0,INT($B32)&lt;=PlanDate+ROUNDUP(IF(ISNUMBER(SpikeHorizon),SpikeHorizon,INDEX(Buffers!$D:$D,MATCH($H32,Buffers!$AE:$AE,0))),0),$E32&gt;=SpikePct*INDEX(Buffers!$P:$P,MATCH($H32,Buffers!$AE:$AE,0))),"Spike","Not qualified"))))))</f>
        <v/>
      </c>
      <c r="G32" s="8" t="str">
        <f aca="false">IF($A32="","",IF(OR($F32="Past due",$F32="Due today",$F32="Spike"),$C32,0))</f>
        <v/>
      </c>
      <c r="H32" s="8" t="str">
        <f aca="false">IF($A32="","",SUBSTITUTE(SUBSTITUTE(SUBSTITUTE($A32&amp;"","~","~~"),"*","~*"),"?","~?"))</f>
        <v/>
      </c>
    </row>
    <row r="33" customFormat="false" ht="15" hidden="false" customHeight="false" outlineLevel="0" collapsed="false">
      <c r="A33" s="11"/>
      <c r="B33" s="6"/>
      <c r="C33" s="11"/>
      <c r="D33" s="11"/>
      <c r="E33" s="8" t="str">
        <f aca="false">IF($A33="","",SUMIFS($C:$C,$A:$A,$H33,$B:$B,"&gt;="&amp;INT($B33),$B:$B,"&lt;"&amp;(INT($B33)+1)))</f>
        <v/>
      </c>
      <c r="F33" s="19" t="str">
        <f aca="false">IF($A33="","",IF(ISNA(MATCH($H33,Buffers!$AE:$AE,0)),"Not on Buffers",IF(NOT(ISNUMBER($B33)),"Needs a date",IF(INT($B33)&lt;PlanDate,"Past due",IF(INT($B33)=PlanDate,"Due today",IF(AND(INDEX(Buffers!$L:$L,MATCH($H33,Buffers!$AE:$AE,0))="Planned",$E33&gt;0,INT($B33)&lt;=PlanDate+ROUNDUP(IF(ISNUMBER(SpikeHorizon),SpikeHorizon,INDEX(Buffers!$D:$D,MATCH($H33,Buffers!$AE:$AE,0))),0),$E33&gt;=SpikePct*INDEX(Buffers!$P:$P,MATCH($H33,Buffers!$AE:$AE,0))),"Spike","Not qualified"))))))</f>
        <v/>
      </c>
      <c r="G33" s="8" t="str">
        <f aca="false">IF($A33="","",IF(OR($F33="Past due",$F33="Due today",$F33="Spike"),$C33,0))</f>
        <v/>
      </c>
      <c r="H33" s="8" t="str">
        <f aca="false">IF($A33="","",SUBSTITUTE(SUBSTITUTE(SUBSTITUTE($A33&amp;"","~","~~"),"*","~*"),"?","~?"))</f>
        <v/>
      </c>
    </row>
    <row r="34" customFormat="false" ht="15" hidden="false" customHeight="false" outlineLevel="0" collapsed="false">
      <c r="A34" s="11"/>
      <c r="B34" s="6"/>
      <c r="C34" s="11"/>
      <c r="D34" s="11"/>
      <c r="E34" s="8" t="str">
        <f aca="false">IF($A34="","",SUMIFS($C:$C,$A:$A,$H34,$B:$B,"&gt;="&amp;INT($B34),$B:$B,"&lt;"&amp;(INT($B34)+1)))</f>
        <v/>
      </c>
      <c r="F34" s="19" t="str">
        <f aca="false">IF($A34="","",IF(ISNA(MATCH($H34,Buffers!$AE:$AE,0)),"Not on Buffers",IF(NOT(ISNUMBER($B34)),"Needs a date",IF(INT($B34)&lt;PlanDate,"Past due",IF(INT($B34)=PlanDate,"Due today",IF(AND(INDEX(Buffers!$L:$L,MATCH($H34,Buffers!$AE:$AE,0))="Planned",$E34&gt;0,INT($B34)&lt;=PlanDate+ROUNDUP(IF(ISNUMBER(SpikeHorizon),SpikeHorizon,INDEX(Buffers!$D:$D,MATCH($H34,Buffers!$AE:$AE,0))),0),$E34&gt;=SpikePct*INDEX(Buffers!$P:$P,MATCH($H34,Buffers!$AE:$AE,0))),"Spike","Not qualified"))))))</f>
        <v/>
      </c>
      <c r="G34" s="8" t="str">
        <f aca="false">IF($A34="","",IF(OR($F34="Past due",$F34="Due today",$F34="Spike"),$C34,0))</f>
        <v/>
      </c>
      <c r="H34" s="8" t="str">
        <f aca="false">IF($A34="","",SUBSTITUTE(SUBSTITUTE(SUBSTITUTE($A34&amp;"","~","~~"),"*","~*"),"?","~?"))</f>
        <v/>
      </c>
    </row>
    <row r="35" customFormat="false" ht="15" hidden="false" customHeight="false" outlineLevel="0" collapsed="false">
      <c r="A35" s="11"/>
      <c r="B35" s="6"/>
      <c r="C35" s="11"/>
      <c r="D35" s="11"/>
      <c r="E35" s="8" t="str">
        <f aca="false">IF($A35="","",SUMIFS($C:$C,$A:$A,$H35,$B:$B,"&gt;="&amp;INT($B35),$B:$B,"&lt;"&amp;(INT($B35)+1)))</f>
        <v/>
      </c>
      <c r="F35" s="19" t="str">
        <f aca="false">IF($A35="","",IF(ISNA(MATCH($H35,Buffers!$AE:$AE,0)),"Not on Buffers",IF(NOT(ISNUMBER($B35)),"Needs a date",IF(INT($B35)&lt;PlanDate,"Past due",IF(INT($B35)=PlanDate,"Due today",IF(AND(INDEX(Buffers!$L:$L,MATCH($H35,Buffers!$AE:$AE,0))="Planned",$E35&gt;0,INT($B35)&lt;=PlanDate+ROUNDUP(IF(ISNUMBER(SpikeHorizon),SpikeHorizon,INDEX(Buffers!$D:$D,MATCH($H35,Buffers!$AE:$AE,0))),0),$E35&gt;=SpikePct*INDEX(Buffers!$P:$P,MATCH($H35,Buffers!$AE:$AE,0))),"Spike","Not qualified"))))))</f>
        <v/>
      </c>
      <c r="G35" s="8" t="str">
        <f aca="false">IF($A35="","",IF(OR($F35="Past due",$F35="Due today",$F35="Spike"),$C35,0))</f>
        <v/>
      </c>
      <c r="H35" s="8" t="str">
        <f aca="false">IF($A35="","",SUBSTITUTE(SUBSTITUTE(SUBSTITUTE($A35&amp;"","~","~~"),"*","~*"),"?","~?"))</f>
        <v/>
      </c>
    </row>
    <row r="36" customFormat="false" ht="15" hidden="false" customHeight="false" outlineLevel="0" collapsed="false">
      <c r="A36" s="11"/>
      <c r="B36" s="6"/>
      <c r="C36" s="11"/>
      <c r="D36" s="11"/>
      <c r="E36" s="8" t="str">
        <f aca="false">IF($A36="","",SUMIFS($C:$C,$A:$A,$H36,$B:$B,"&gt;="&amp;INT($B36),$B:$B,"&lt;"&amp;(INT($B36)+1)))</f>
        <v/>
      </c>
      <c r="F36" s="19" t="str">
        <f aca="false">IF($A36="","",IF(ISNA(MATCH($H36,Buffers!$AE:$AE,0)),"Not on Buffers",IF(NOT(ISNUMBER($B36)),"Needs a date",IF(INT($B36)&lt;PlanDate,"Past due",IF(INT($B36)=PlanDate,"Due today",IF(AND(INDEX(Buffers!$L:$L,MATCH($H36,Buffers!$AE:$AE,0))="Planned",$E36&gt;0,INT($B36)&lt;=PlanDate+ROUNDUP(IF(ISNUMBER(SpikeHorizon),SpikeHorizon,INDEX(Buffers!$D:$D,MATCH($H36,Buffers!$AE:$AE,0))),0),$E36&gt;=SpikePct*INDEX(Buffers!$P:$P,MATCH($H36,Buffers!$AE:$AE,0))),"Spike","Not qualified"))))))</f>
        <v/>
      </c>
      <c r="G36" s="8" t="str">
        <f aca="false">IF($A36="","",IF(OR($F36="Past due",$F36="Due today",$F36="Spike"),$C36,0))</f>
        <v/>
      </c>
      <c r="H36" s="8" t="str">
        <f aca="false">IF($A36="","",SUBSTITUTE(SUBSTITUTE(SUBSTITUTE($A36&amp;"","~","~~"),"*","~*"),"?","~?"))</f>
        <v/>
      </c>
    </row>
    <row r="37" customFormat="false" ht="15" hidden="false" customHeight="false" outlineLevel="0" collapsed="false">
      <c r="A37" s="11"/>
      <c r="B37" s="6"/>
      <c r="C37" s="11"/>
      <c r="D37" s="11"/>
      <c r="E37" s="8" t="str">
        <f aca="false">IF($A37="","",SUMIFS($C:$C,$A:$A,$H37,$B:$B,"&gt;="&amp;INT($B37),$B:$B,"&lt;"&amp;(INT($B37)+1)))</f>
        <v/>
      </c>
      <c r="F37" s="19" t="str">
        <f aca="false">IF($A37="","",IF(ISNA(MATCH($H37,Buffers!$AE:$AE,0)),"Not on Buffers",IF(NOT(ISNUMBER($B37)),"Needs a date",IF(INT($B37)&lt;PlanDate,"Past due",IF(INT($B37)=PlanDate,"Due today",IF(AND(INDEX(Buffers!$L:$L,MATCH($H37,Buffers!$AE:$AE,0))="Planned",$E37&gt;0,INT($B37)&lt;=PlanDate+ROUNDUP(IF(ISNUMBER(SpikeHorizon),SpikeHorizon,INDEX(Buffers!$D:$D,MATCH($H37,Buffers!$AE:$AE,0))),0),$E37&gt;=SpikePct*INDEX(Buffers!$P:$P,MATCH($H37,Buffers!$AE:$AE,0))),"Spike","Not qualified"))))))</f>
        <v/>
      </c>
      <c r="G37" s="8" t="str">
        <f aca="false">IF($A37="","",IF(OR($F37="Past due",$F37="Due today",$F37="Spike"),$C37,0))</f>
        <v/>
      </c>
      <c r="H37" s="8" t="str">
        <f aca="false">IF($A37="","",SUBSTITUTE(SUBSTITUTE(SUBSTITUTE($A37&amp;"","~","~~"),"*","~*"),"?","~?"))</f>
        <v/>
      </c>
    </row>
    <row r="38" customFormat="false" ht="15" hidden="false" customHeight="false" outlineLevel="0" collapsed="false">
      <c r="A38" s="11"/>
      <c r="B38" s="6"/>
      <c r="C38" s="11"/>
      <c r="D38" s="11"/>
      <c r="E38" s="8" t="str">
        <f aca="false">IF($A38="","",SUMIFS($C:$C,$A:$A,$H38,$B:$B,"&gt;="&amp;INT($B38),$B:$B,"&lt;"&amp;(INT($B38)+1)))</f>
        <v/>
      </c>
      <c r="F38" s="19" t="str">
        <f aca="false">IF($A38="","",IF(ISNA(MATCH($H38,Buffers!$AE:$AE,0)),"Not on Buffers",IF(NOT(ISNUMBER($B38)),"Needs a date",IF(INT($B38)&lt;PlanDate,"Past due",IF(INT($B38)=PlanDate,"Due today",IF(AND(INDEX(Buffers!$L:$L,MATCH($H38,Buffers!$AE:$AE,0))="Planned",$E38&gt;0,INT($B38)&lt;=PlanDate+ROUNDUP(IF(ISNUMBER(SpikeHorizon),SpikeHorizon,INDEX(Buffers!$D:$D,MATCH($H38,Buffers!$AE:$AE,0))),0),$E38&gt;=SpikePct*INDEX(Buffers!$P:$P,MATCH($H38,Buffers!$AE:$AE,0))),"Spike","Not qualified"))))))</f>
        <v/>
      </c>
      <c r="G38" s="8" t="str">
        <f aca="false">IF($A38="","",IF(OR($F38="Past due",$F38="Due today",$F38="Spike"),$C38,0))</f>
        <v/>
      </c>
      <c r="H38" s="8" t="str">
        <f aca="false">IF($A38="","",SUBSTITUTE(SUBSTITUTE(SUBSTITUTE($A38&amp;"","~","~~"),"*","~*"),"?","~?"))</f>
        <v/>
      </c>
    </row>
    <row r="39" customFormat="false" ht="15" hidden="false" customHeight="false" outlineLevel="0" collapsed="false">
      <c r="A39" s="11"/>
      <c r="B39" s="6"/>
      <c r="C39" s="11"/>
      <c r="D39" s="11"/>
      <c r="E39" s="8" t="str">
        <f aca="false">IF($A39="","",SUMIFS($C:$C,$A:$A,$H39,$B:$B,"&gt;="&amp;INT($B39),$B:$B,"&lt;"&amp;(INT($B39)+1)))</f>
        <v/>
      </c>
      <c r="F39" s="19" t="str">
        <f aca="false">IF($A39="","",IF(ISNA(MATCH($H39,Buffers!$AE:$AE,0)),"Not on Buffers",IF(NOT(ISNUMBER($B39)),"Needs a date",IF(INT($B39)&lt;PlanDate,"Past due",IF(INT($B39)=PlanDate,"Due today",IF(AND(INDEX(Buffers!$L:$L,MATCH($H39,Buffers!$AE:$AE,0))="Planned",$E39&gt;0,INT($B39)&lt;=PlanDate+ROUNDUP(IF(ISNUMBER(SpikeHorizon),SpikeHorizon,INDEX(Buffers!$D:$D,MATCH($H39,Buffers!$AE:$AE,0))),0),$E39&gt;=SpikePct*INDEX(Buffers!$P:$P,MATCH($H39,Buffers!$AE:$AE,0))),"Spike","Not qualified"))))))</f>
        <v/>
      </c>
      <c r="G39" s="8" t="str">
        <f aca="false">IF($A39="","",IF(OR($F39="Past due",$F39="Due today",$F39="Spike"),$C39,0))</f>
        <v/>
      </c>
      <c r="H39" s="8" t="str">
        <f aca="false">IF($A39="","",SUBSTITUTE(SUBSTITUTE(SUBSTITUTE($A39&amp;"","~","~~"),"*","~*"),"?","~?"))</f>
        <v/>
      </c>
    </row>
    <row r="40" customFormat="false" ht="15" hidden="false" customHeight="false" outlineLevel="0" collapsed="false">
      <c r="A40" s="11"/>
      <c r="B40" s="6"/>
      <c r="C40" s="11"/>
      <c r="D40" s="11"/>
      <c r="E40" s="8" t="str">
        <f aca="false">IF($A40="","",SUMIFS($C:$C,$A:$A,$H40,$B:$B,"&gt;="&amp;INT($B40),$B:$B,"&lt;"&amp;(INT($B40)+1)))</f>
        <v/>
      </c>
      <c r="F40" s="19" t="str">
        <f aca="false">IF($A40="","",IF(ISNA(MATCH($H40,Buffers!$AE:$AE,0)),"Not on Buffers",IF(NOT(ISNUMBER($B40)),"Needs a date",IF(INT($B40)&lt;PlanDate,"Past due",IF(INT($B40)=PlanDate,"Due today",IF(AND(INDEX(Buffers!$L:$L,MATCH($H40,Buffers!$AE:$AE,0))="Planned",$E40&gt;0,INT($B40)&lt;=PlanDate+ROUNDUP(IF(ISNUMBER(SpikeHorizon),SpikeHorizon,INDEX(Buffers!$D:$D,MATCH($H40,Buffers!$AE:$AE,0))),0),$E40&gt;=SpikePct*INDEX(Buffers!$P:$P,MATCH($H40,Buffers!$AE:$AE,0))),"Spike","Not qualified"))))))</f>
        <v/>
      </c>
      <c r="G40" s="8" t="str">
        <f aca="false">IF($A40="","",IF(OR($F40="Past due",$F40="Due today",$F40="Spike"),$C40,0))</f>
        <v/>
      </c>
      <c r="H40" s="8" t="str">
        <f aca="false">IF($A40="","",SUBSTITUTE(SUBSTITUTE(SUBSTITUTE($A40&amp;"","~","~~"),"*","~*"),"?","~?"))</f>
        <v/>
      </c>
    </row>
    <row r="41" customFormat="false" ht="15" hidden="false" customHeight="false" outlineLevel="0" collapsed="false">
      <c r="A41" s="11"/>
      <c r="B41" s="6"/>
      <c r="C41" s="11"/>
      <c r="D41" s="11"/>
      <c r="E41" s="8" t="str">
        <f aca="false">IF($A41="","",SUMIFS($C:$C,$A:$A,$H41,$B:$B,"&gt;="&amp;INT($B41),$B:$B,"&lt;"&amp;(INT($B41)+1)))</f>
        <v/>
      </c>
      <c r="F41" s="19" t="str">
        <f aca="false">IF($A41="","",IF(ISNA(MATCH($H41,Buffers!$AE:$AE,0)),"Not on Buffers",IF(NOT(ISNUMBER($B41)),"Needs a date",IF(INT($B41)&lt;PlanDate,"Past due",IF(INT($B41)=PlanDate,"Due today",IF(AND(INDEX(Buffers!$L:$L,MATCH($H41,Buffers!$AE:$AE,0))="Planned",$E41&gt;0,INT($B41)&lt;=PlanDate+ROUNDUP(IF(ISNUMBER(SpikeHorizon),SpikeHorizon,INDEX(Buffers!$D:$D,MATCH($H41,Buffers!$AE:$AE,0))),0),$E41&gt;=SpikePct*INDEX(Buffers!$P:$P,MATCH($H41,Buffers!$AE:$AE,0))),"Spike","Not qualified"))))))</f>
        <v/>
      </c>
      <c r="G41" s="8" t="str">
        <f aca="false">IF($A41="","",IF(OR($F41="Past due",$F41="Due today",$F41="Spike"),$C41,0))</f>
        <v/>
      </c>
      <c r="H41" s="8" t="str">
        <f aca="false">IF($A41="","",SUBSTITUTE(SUBSTITUTE(SUBSTITUTE($A41&amp;"","~","~~"),"*","~*"),"?","~?"))</f>
        <v/>
      </c>
    </row>
    <row r="42" customFormat="false" ht="15" hidden="false" customHeight="false" outlineLevel="0" collapsed="false">
      <c r="A42" s="11"/>
      <c r="B42" s="6"/>
      <c r="C42" s="11"/>
      <c r="D42" s="11"/>
      <c r="E42" s="8" t="str">
        <f aca="false">IF($A42="","",SUMIFS($C:$C,$A:$A,$H42,$B:$B,"&gt;="&amp;INT($B42),$B:$B,"&lt;"&amp;(INT($B42)+1)))</f>
        <v/>
      </c>
      <c r="F42" s="19" t="str">
        <f aca="false">IF($A42="","",IF(ISNA(MATCH($H42,Buffers!$AE:$AE,0)),"Not on Buffers",IF(NOT(ISNUMBER($B42)),"Needs a date",IF(INT($B42)&lt;PlanDate,"Past due",IF(INT($B42)=PlanDate,"Due today",IF(AND(INDEX(Buffers!$L:$L,MATCH($H42,Buffers!$AE:$AE,0))="Planned",$E42&gt;0,INT($B42)&lt;=PlanDate+ROUNDUP(IF(ISNUMBER(SpikeHorizon),SpikeHorizon,INDEX(Buffers!$D:$D,MATCH($H42,Buffers!$AE:$AE,0))),0),$E42&gt;=SpikePct*INDEX(Buffers!$P:$P,MATCH($H42,Buffers!$AE:$AE,0))),"Spike","Not qualified"))))))</f>
        <v/>
      </c>
      <c r="G42" s="8" t="str">
        <f aca="false">IF($A42="","",IF(OR($F42="Past due",$F42="Due today",$F42="Spike"),$C42,0))</f>
        <v/>
      </c>
      <c r="H42" s="8" t="str">
        <f aca="false">IF($A42="","",SUBSTITUTE(SUBSTITUTE(SUBSTITUTE($A42&amp;"","~","~~"),"*","~*"),"?","~?"))</f>
        <v/>
      </c>
    </row>
    <row r="43" customFormat="false" ht="15" hidden="false" customHeight="false" outlineLevel="0" collapsed="false">
      <c r="A43" s="11"/>
      <c r="B43" s="6"/>
      <c r="C43" s="11"/>
      <c r="D43" s="11"/>
      <c r="E43" s="8" t="str">
        <f aca="false">IF($A43="","",SUMIFS($C:$C,$A:$A,$H43,$B:$B,"&gt;="&amp;INT($B43),$B:$B,"&lt;"&amp;(INT($B43)+1)))</f>
        <v/>
      </c>
      <c r="F43" s="19" t="str">
        <f aca="false">IF($A43="","",IF(ISNA(MATCH($H43,Buffers!$AE:$AE,0)),"Not on Buffers",IF(NOT(ISNUMBER($B43)),"Needs a date",IF(INT($B43)&lt;PlanDate,"Past due",IF(INT($B43)=PlanDate,"Due today",IF(AND(INDEX(Buffers!$L:$L,MATCH($H43,Buffers!$AE:$AE,0))="Planned",$E43&gt;0,INT($B43)&lt;=PlanDate+ROUNDUP(IF(ISNUMBER(SpikeHorizon),SpikeHorizon,INDEX(Buffers!$D:$D,MATCH($H43,Buffers!$AE:$AE,0))),0),$E43&gt;=SpikePct*INDEX(Buffers!$P:$P,MATCH($H43,Buffers!$AE:$AE,0))),"Spike","Not qualified"))))))</f>
        <v/>
      </c>
      <c r="G43" s="8" t="str">
        <f aca="false">IF($A43="","",IF(OR($F43="Past due",$F43="Due today",$F43="Spike"),$C43,0))</f>
        <v/>
      </c>
      <c r="H43" s="8" t="str">
        <f aca="false">IF($A43="","",SUBSTITUTE(SUBSTITUTE(SUBSTITUTE($A43&amp;"","~","~~"),"*","~*"),"?","~?"))</f>
        <v/>
      </c>
    </row>
    <row r="44" customFormat="false" ht="15" hidden="false" customHeight="false" outlineLevel="0" collapsed="false">
      <c r="A44" s="11"/>
      <c r="B44" s="6"/>
      <c r="C44" s="11"/>
      <c r="D44" s="11"/>
      <c r="E44" s="8" t="str">
        <f aca="false">IF($A44="","",SUMIFS($C:$C,$A:$A,$H44,$B:$B,"&gt;="&amp;INT($B44),$B:$B,"&lt;"&amp;(INT($B44)+1)))</f>
        <v/>
      </c>
      <c r="F44" s="19" t="str">
        <f aca="false">IF($A44="","",IF(ISNA(MATCH($H44,Buffers!$AE:$AE,0)),"Not on Buffers",IF(NOT(ISNUMBER($B44)),"Needs a date",IF(INT($B44)&lt;PlanDate,"Past due",IF(INT($B44)=PlanDate,"Due today",IF(AND(INDEX(Buffers!$L:$L,MATCH($H44,Buffers!$AE:$AE,0))="Planned",$E44&gt;0,INT($B44)&lt;=PlanDate+ROUNDUP(IF(ISNUMBER(SpikeHorizon),SpikeHorizon,INDEX(Buffers!$D:$D,MATCH($H44,Buffers!$AE:$AE,0))),0),$E44&gt;=SpikePct*INDEX(Buffers!$P:$P,MATCH($H44,Buffers!$AE:$AE,0))),"Spike","Not qualified"))))))</f>
        <v/>
      </c>
      <c r="G44" s="8" t="str">
        <f aca="false">IF($A44="","",IF(OR($F44="Past due",$F44="Due today",$F44="Spike"),$C44,0))</f>
        <v/>
      </c>
      <c r="H44" s="8" t="str">
        <f aca="false">IF($A44="","",SUBSTITUTE(SUBSTITUTE(SUBSTITUTE($A44&amp;"","~","~~"),"*","~*"),"?","~?"))</f>
        <v/>
      </c>
    </row>
    <row r="45" customFormat="false" ht="15" hidden="false" customHeight="false" outlineLevel="0" collapsed="false">
      <c r="A45" s="11"/>
      <c r="B45" s="6"/>
      <c r="C45" s="11"/>
      <c r="D45" s="11"/>
      <c r="E45" s="8" t="str">
        <f aca="false">IF($A45="","",SUMIFS($C:$C,$A:$A,$H45,$B:$B,"&gt;="&amp;INT($B45),$B:$B,"&lt;"&amp;(INT($B45)+1)))</f>
        <v/>
      </c>
      <c r="F45" s="19" t="str">
        <f aca="false">IF($A45="","",IF(ISNA(MATCH($H45,Buffers!$AE:$AE,0)),"Not on Buffers",IF(NOT(ISNUMBER($B45)),"Needs a date",IF(INT($B45)&lt;PlanDate,"Past due",IF(INT($B45)=PlanDate,"Due today",IF(AND(INDEX(Buffers!$L:$L,MATCH($H45,Buffers!$AE:$AE,0))="Planned",$E45&gt;0,INT($B45)&lt;=PlanDate+ROUNDUP(IF(ISNUMBER(SpikeHorizon),SpikeHorizon,INDEX(Buffers!$D:$D,MATCH($H45,Buffers!$AE:$AE,0))),0),$E45&gt;=SpikePct*INDEX(Buffers!$P:$P,MATCH($H45,Buffers!$AE:$AE,0))),"Spike","Not qualified"))))))</f>
        <v/>
      </c>
      <c r="G45" s="8" t="str">
        <f aca="false">IF($A45="","",IF(OR($F45="Past due",$F45="Due today",$F45="Spike"),$C45,0))</f>
        <v/>
      </c>
      <c r="H45" s="8" t="str">
        <f aca="false">IF($A45="","",SUBSTITUTE(SUBSTITUTE(SUBSTITUTE($A45&amp;"","~","~~"),"*","~*"),"?","~?"))</f>
        <v/>
      </c>
    </row>
    <row r="46" customFormat="false" ht="15" hidden="false" customHeight="false" outlineLevel="0" collapsed="false">
      <c r="A46" s="11"/>
      <c r="B46" s="6"/>
      <c r="C46" s="11"/>
      <c r="D46" s="11"/>
      <c r="E46" s="8" t="str">
        <f aca="false">IF($A46="","",SUMIFS($C:$C,$A:$A,$H46,$B:$B,"&gt;="&amp;INT($B46),$B:$B,"&lt;"&amp;(INT($B46)+1)))</f>
        <v/>
      </c>
      <c r="F46" s="19" t="str">
        <f aca="false">IF($A46="","",IF(ISNA(MATCH($H46,Buffers!$AE:$AE,0)),"Not on Buffers",IF(NOT(ISNUMBER($B46)),"Needs a date",IF(INT($B46)&lt;PlanDate,"Past due",IF(INT($B46)=PlanDate,"Due today",IF(AND(INDEX(Buffers!$L:$L,MATCH($H46,Buffers!$AE:$AE,0))="Planned",$E46&gt;0,INT($B46)&lt;=PlanDate+ROUNDUP(IF(ISNUMBER(SpikeHorizon),SpikeHorizon,INDEX(Buffers!$D:$D,MATCH($H46,Buffers!$AE:$AE,0))),0),$E46&gt;=SpikePct*INDEX(Buffers!$P:$P,MATCH($H46,Buffers!$AE:$AE,0))),"Spike","Not qualified"))))))</f>
        <v/>
      </c>
      <c r="G46" s="8" t="str">
        <f aca="false">IF($A46="","",IF(OR($F46="Past due",$F46="Due today",$F46="Spike"),$C46,0))</f>
        <v/>
      </c>
      <c r="H46" s="8" t="str">
        <f aca="false">IF($A46="","",SUBSTITUTE(SUBSTITUTE(SUBSTITUTE($A46&amp;"","~","~~"),"*","~*"),"?","~?"))</f>
        <v/>
      </c>
    </row>
    <row r="47" customFormat="false" ht="15" hidden="false" customHeight="false" outlineLevel="0" collapsed="false">
      <c r="A47" s="11"/>
      <c r="B47" s="6"/>
      <c r="C47" s="11"/>
      <c r="D47" s="11"/>
      <c r="E47" s="8" t="str">
        <f aca="false">IF($A47="","",SUMIFS($C:$C,$A:$A,$H47,$B:$B,"&gt;="&amp;INT($B47),$B:$B,"&lt;"&amp;(INT($B47)+1)))</f>
        <v/>
      </c>
      <c r="F47" s="19" t="str">
        <f aca="false">IF($A47="","",IF(ISNA(MATCH($H47,Buffers!$AE:$AE,0)),"Not on Buffers",IF(NOT(ISNUMBER($B47)),"Needs a date",IF(INT($B47)&lt;PlanDate,"Past due",IF(INT($B47)=PlanDate,"Due today",IF(AND(INDEX(Buffers!$L:$L,MATCH($H47,Buffers!$AE:$AE,0))="Planned",$E47&gt;0,INT($B47)&lt;=PlanDate+ROUNDUP(IF(ISNUMBER(SpikeHorizon),SpikeHorizon,INDEX(Buffers!$D:$D,MATCH($H47,Buffers!$AE:$AE,0))),0),$E47&gt;=SpikePct*INDEX(Buffers!$P:$P,MATCH($H47,Buffers!$AE:$AE,0))),"Spike","Not qualified"))))))</f>
        <v/>
      </c>
      <c r="G47" s="8" t="str">
        <f aca="false">IF($A47="","",IF(OR($F47="Past due",$F47="Due today",$F47="Spike"),$C47,0))</f>
        <v/>
      </c>
      <c r="H47" s="8" t="str">
        <f aca="false">IF($A47="","",SUBSTITUTE(SUBSTITUTE(SUBSTITUTE($A47&amp;"","~","~~"),"*","~*"),"?","~?"))</f>
        <v/>
      </c>
    </row>
    <row r="48" customFormat="false" ht="15" hidden="false" customHeight="false" outlineLevel="0" collapsed="false">
      <c r="A48" s="11"/>
      <c r="B48" s="6"/>
      <c r="C48" s="11"/>
      <c r="D48" s="11"/>
      <c r="E48" s="8" t="str">
        <f aca="false">IF($A48="","",SUMIFS($C:$C,$A:$A,$H48,$B:$B,"&gt;="&amp;INT($B48),$B:$B,"&lt;"&amp;(INT($B48)+1)))</f>
        <v/>
      </c>
      <c r="F48" s="19" t="str">
        <f aca="false">IF($A48="","",IF(ISNA(MATCH($H48,Buffers!$AE:$AE,0)),"Not on Buffers",IF(NOT(ISNUMBER($B48)),"Needs a date",IF(INT($B48)&lt;PlanDate,"Past due",IF(INT($B48)=PlanDate,"Due today",IF(AND(INDEX(Buffers!$L:$L,MATCH($H48,Buffers!$AE:$AE,0))="Planned",$E48&gt;0,INT($B48)&lt;=PlanDate+ROUNDUP(IF(ISNUMBER(SpikeHorizon),SpikeHorizon,INDEX(Buffers!$D:$D,MATCH($H48,Buffers!$AE:$AE,0))),0),$E48&gt;=SpikePct*INDEX(Buffers!$P:$P,MATCH($H48,Buffers!$AE:$AE,0))),"Spike","Not qualified"))))))</f>
        <v/>
      </c>
      <c r="G48" s="8" t="str">
        <f aca="false">IF($A48="","",IF(OR($F48="Past due",$F48="Due today",$F48="Spike"),$C48,0))</f>
        <v/>
      </c>
      <c r="H48" s="8" t="str">
        <f aca="false">IF($A48="","",SUBSTITUTE(SUBSTITUTE(SUBSTITUTE($A48&amp;"","~","~~"),"*","~*"),"?","~?"))</f>
        <v/>
      </c>
    </row>
    <row r="49" customFormat="false" ht="15" hidden="false" customHeight="false" outlineLevel="0" collapsed="false">
      <c r="A49" s="11"/>
      <c r="B49" s="6"/>
      <c r="C49" s="11"/>
      <c r="D49" s="11"/>
      <c r="E49" s="8" t="str">
        <f aca="false">IF($A49="","",SUMIFS($C:$C,$A:$A,$H49,$B:$B,"&gt;="&amp;INT($B49),$B:$B,"&lt;"&amp;(INT($B49)+1)))</f>
        <v/>
      </c>
      <c r="F49" s="19" t="str">
        <f aca="false">IF($A49="","",IF(ISNA(MATCH($H49,Buffers!$AE:$AE,0)),"Not on Buffers",IF(NOT(ISNUMBER($B49)),"Needs a date",IF(INT($B49)&lt;PlanDate,"Past due",IF(INT($B49)=PlanDate,"Due today",IF(AND(INDEX(Buffers!$L:$L,MATCH($H49,Buffers!$AE:$AE,0))="Planned",$E49&gt;0,INT($B49)&lt;=PlanDate+ROUNDUP(IF(ISNUMBER(SpikeHorizon),SpikeHorizon,INDEX(Buffers!$D:$D,MATCH($H49,Buffers!$AE:$AE,0))),0),$E49&gt;=SpikePct*INDEX(Buffers!$P:$P,MATCH($H49,Buffers!$AE:$AE,0))),"Spike","Not qualified"))))))</f>
        <v/>
      </c>
      <c r="G49" s="8" t="str">
        <f aca="false">IF($A49="","",IF(OR($F49="Past due",$F49="Due today",$F49="Spike"),$C49,0))</f>
        <v/>
      </c>
      <c r="H49" s="8" t="str">
        <f aca="false">IF($A49="","",SUBSTITUTE(SUBSTITUTE(SUBSTITUTE($A49&amp;"","~","~~"),"*","~*"),"?","~?"))</f>
        <v/>
      </c>
    </row>
    <row r="50" customFormat="false" ht="15" hidden="false" customHeight="false" outlineLevel="0" collapsed="false">
      <c r="A50" s="11"/>
      <c r="B50" s="6"/>
      <c r="C50" s="11"/>
      <c r="D50" s="11"/>
      <c r="E50" s="8" t="str">
        <f aca="false">IF($A50="","",SUMIFS($C:$C,$A:$A,$H50,$B:$B,"&gt;="&amp;INT($B50),$B:$B,"&lt;"&amp;(INT($B50)+1)))</f>
        <v/>
      </c>
      <c r="F50" s="19" t="str">
        <f aca="false">IF($A50="","",IF(ISNA(MATCH($H50,Buffers!$AE:$AE,0)),"Not on Buffers",IF(NOT(ISNUMBER($B50)),"Needs a date",IF(INT($B50)&lt;PlanDate,"Past due",IF(INT($B50)=PlanDate,"Due today",IF(AND(INDEX(Buffers!$L:$L,MATCH($H50,Buffers!$AE:$AE,0))="Planned",$E50&gt;0,INT($B50)&lt;=PlanDate+ROUNDUP(IF(ISNUMBER(SpikeHorizon),SpikeHorizon,INDEX(Buffers!$D:$D,MATCH($H50,Buffers!$AE:$AE,0))),0),$E50&gt;=SpikePct*INDEX(Buffers!$P:$P,MATCH($H50,Buffers!$AE:$AE,0))),"Spike","Not qualified"))))))</f>
        <v/>
      </c>
      <c r="G50" s="8" t="str">
        <f aca="false">IF($A50="","",IF(OR($F50="Past due",$F50="Due today",$F50="Spike"),$C50,0))</f>
        <v/>
      </c>
      <c r="H50" s="8" t="str">
        <f aca="false">IF($A50="","",SUBSTITUTE(SUBSTITUTE(SUBSTITUTE($A50&amp;"","~","~~"),"*","~*"),"?","~?"))</f>
        <v/>
      </c>
    </row>
    <row r="51" customFormat="false" ht="15" hidden="false" customHeight="false" outlineLevel="0" collapsed="false">
      <c r="A51" s="11"/>
      <c r="B51" s="6"/>
      <c r="C51" s="11"/>
      <c r="D51" s="11"/>
      <c r="E51" s="8" t="str">
        <f aca="false">IF($A51="","",SUMIFS($C:$C,$A:$A,$H51,$B:$B,"&gt;="&amp;INT($B51),$B:$B,"&lt;"&amp;(INT($B51)+1)))</f>
        <v/>
      </c>
      <c r="F51" s="19" t="str">
        <f aca="false">IF($A51="","",IF(ISNA(MATCH($H51,Buffers!$AE:$AE,0)),"Not on Buffers",IF(NOT(ISNUMBER($B51)),"Needs a date",IF(INT($B51)&lt;PlanDate,"Past due",IF(INT($B51)=PlanDate,"Due today",IF(AND(INDEX(Buffers!$L:$L,MATCH($H51,Buffers!$AE:$AE,0))="Planned",$E51&gt;0,INT($B51)&lt;=PlanDate+ROUNDUP(IF(ISNUMBER(SpikeHorizon),SpikeHorizon,INDEX(Buffers!$D:$D,MATCH($H51,Buffers!$AE:$AE,0))),0),$E51&gt;=SpikePct*INDEX(Buffers!$P:$P,MATCH($H51,Buffers!$AE:$AE,0))),"Spike","Not qualified"))))))</f>
        <v/>
      </c>
      <c r="G51" s="8" t="str">
        <f aca="false">IF($A51="","",IF(OR($F51="Past due",$F51="Due today",$F51="Spike"),$C51,0))</f>
        <v/>
      </c>
      <c r="H51" s="8" t="str">
        <f aca="false">IF($A51="","",SUBSTITUTE(SUBSTITUTE(SUBSTITUTE($A51&amp;"","~","~~"),"*","~*"),"?","~?"))</f>
        <v/>
      </c>
    </row>
    <row r="52" customFormat="false" ht="15" hidden="false" customHeight="false" outlineLevel="0" collapsed="false">
      <c r="A52" s="11"/>
      <c r="B52" s="6"/>
      <c r="C52" s="11"/>
      <c r="D52" s="11"/>
      <c r="E52" s="8" t="str">
        <f aca="false">IF($A52="","",SUMIFS($C:$C,$A:$A,$H52,$B:$B,"&gt;="&amp;INT($B52),$B:$B,"&lt;"&amp;(INT($B52)+1)))</f>
        <v/>
      </c>
      <c r="F52" s="19" t="str">
        <f aca="false">IF($A52="","",IF(ISNA(MATCH($H52,Buffers!$AE:$AE,0)),"Not on Buffers",IF(NOT(ISNUMBER($B52)),"Needs a date",IF(INT($B52)&lt;PlanDate,"Past due",IF(INT($B52)=PlanDate,"Due today",IF(AND(INDEX(Buffers!$L:$L,MATCH($H52,Buffers!$AE:$AE,0))="Planned",$E52&gt;0,INT($B52)&lt;=PlanDate+ROUNDUP(IF(ISNUMBER(SpikeHorizon),SpikeHorizon,INDEX(Buffers!$D:$D,MATCH($H52,Buffers!$AE:$AE,0))),0),$E52&gt;=SpikePct*INDEX(Buffers!$P:$P,MATCH($H52,Buffers!$AE:$AE,0))),"Spike","Not qualified"))))))</f>
        <v/>
      </c>
      <c r="G52" s="8" t="str">
        <f aca="false">IF($A52="","",IF(OR($F52="Past due",$F52="Due today",$F52="Spike"),$C52,0))</f>
        <v/>
      </c>
      <c r="H52" s="8" t="str">
        <f aca="false">IF($A52="","",SUBSTITUTE(SUBSTITUTE(SUBSTITUTE($A52&amp;"","~","~~"),"*","~*"),"?","~?"))</f>
        <v/>
      </c>
    </row>
    <row r="53" customFormat="false" ht="15" hidden="false" customHeight="false" outlineLevel="0" collapsed="false">
      <c r="A53" s="11"/>
      <c r="B53" s="6"/>
      <c r="C53" s="11"/>
      <c r="D53" s="11"/>
      <c r="E53" s="8" t="str">
        <f aca="false">IF($A53="","",SUMIFS($C:$C,$A:$A,$H53,$B:$B,"&gt;="&amp;INT($B53),$B:$B,"&lt;"&amp;(INT($B53)+1)))</f>
        <v/>
      </c>
      <c r="F53" s="19" t="str">
        <f aca="false">IF($A53="","",IF(ISNA(MATCH($H53,Buffers!$AE:$AE,0)),"Not on Buffers",IF(NOT(ISNUMBER($B53)),"Needs a date",IF(INT($B53)&lt;PlanDate,"Past due",IF(INT($B53)=PlanDate,"Due today",IF(AND(INDEX(Buffers!$L:$L,MATCH($H53,Buffers!$AE:$AE,0))="Planned",$E53&gt;0,INT($B53)&lt;=PlanDate+ROUNDUP(IF(ISNUMBER(SpikeHorizon),SpikeHorizon,INDEX(Buffers!$D:$D,MATCH($H53,Buffers!$AE:$AE,0))),0),$E53&gt;=SpikePct*INDEX(Buffers!$P:$P,MATCH($H53,Buffers!$AE:$AE,0))),"Spike","Not qualified"))))))</f>
        <v/>
      </c>
      <c r="G53" s="8" t="str">
        <f aca="false">IF($A53="","",IF(OR($F53="Past due",$F53="Due today",$F53="Spike"),$C53,0))</f>
        <v/>
      </c>
      <c r="H53" s="8" t="str">
        <f aca="false">IF($A53="","",SUBSTITUTE(SUBSTITUTE(SUBSTITUTE($A53&amp;"","~","~~"),"*","~*"),"?","~?"))</f>
        <v/>
      </c>
    </row>
    <row r="54" customFormat="false" ht="15" hidden="false" customHeight="false" outlineLevel="0" collapsed="false">
      <c r="A54" s="11"/>
      <c r="B54" s="6"/>
      <c r="C54" s="11"/>
      <c r="D54" s="11"/>
      <c r="E54" s="8" t="str">
        <f aca="false">IF($A54="","",SUMIFS($C:$C,$A:$A,$H54,$B:$B,"&gt;="&amp;INT($B54),$B:$B,"&lt;"&amp;(INT($B54)+1)))</f>
        <v/>
      </c>
      <c r="F54" s="19" t="str">
        <f aca="false">IF($A54="","",IF(ISNA(MATCH($H54,Buffers!$AE:$AE,0)),"Not on Buffers",IF(NOT(ISNUMBER($B54)),"Needs a date",IF(INT($B54)&lt;PlanDate,"Past due",IF(INT($B54)=PlanDate,"Due today",IF(AND(INDEX(Buffers!$L:$L,MATCH($H54,Buffers!$AE:$AE,0))="Planned",$E54&gt;0,INT($B54)&lt;=PlanDate+ROUNDUP(IF(ISNUMBER(SpikeHorizon),SpikeHorizon,INDEX(Buffers!$D:$D,MATCH($H54,Buffers!$AE:$AE,0))),0),$E54&gt;=SpikePct*INDEX(Buffers!$P:$P,MATCH($H54,Buffers!$AE:$AE,0))),"Spike","Not qualified"))))))</f>
        <v/>
      </c>
      <c r="G54" s="8" t="str">
        <f aca="false">IF($A54="","",IF(OR($F54="Past due",$F54="Due today",$F54="Spike"),$C54,0))</f>
        <v/>
      </c>
      <c r="H54" s="8" t="str">
        <f aca="false">IF($A54="","",SUBSTITUTE(SUBSTITUTE(SUBSTITUTE($A54&amp;"","~","~~"),"*","~*"),"?","~?"))</f>
        <v/>
      </c>
    </row>
    <row r="55" customFormat="false" ht="15" hidden="false" customHeight="false" outlineLevel="0" collapsed="false">
      <c r="A55" s="11"/>
      <c r="B55" s="6"/>
      <c r="C55" s="11"/>
      <c r="D55" s="11"/>
      <c r="E55" s="8" t="str">
        <f aca="false">IF($A55="","",SUMIFS($C:$C,$A:$A,$H55,$B:$B,"&gt;="&amp;INT($B55),$B:$B,"&lt;"&amp;(INT($B55)+1)))</f>
        <v/>
      </c>
      <c r="F55" s="19" t="str">
        <f aca="false">IF($A55="","",IF(ISNA(MATCH($H55,Buffers!$AE:$AE,0)),"Not on Buffers",IF(NOT(ISNUMBER($B55)),"Needs a date",IF(INT($B55)&lt;PlanDate,"Past due",IF(INT($B55)=PlanDate,"Due today",IF(AND(INDEX(Buffers!$L:$L,MATCH($H55,Buffers!$AE:$AE,0))="Planned",$E55&gt;0,INT($B55)&lt;=PlanDate+ROUNDUP(IF(ISNUMBER(SpikeHorizon),SpikeHorizon,INDEX(Buffers!$D:$D,MATCH($H55,Buffers!$AE:$AE,0))),0),$E55&gt;=SpikePct*INDEX(Buffers!$P:$P,MATCH($H55,Buffers!$AE:$AE,0))),"Spike","Not qualified"))))))</f>
        <v/>
      </c>
      <c r="G55" s="8" t="str">
        <f aca="false">IF($A55="","",IF(OR($F55="Past due",$F55="Due today",$F55="Spike"),$C55,0))</f>
        <v/>
      </c>
      <c r="H55" s="8" t="str">
        <f aca="false">IF($A55="","",SUBSTITUTE(SUBSTITUTE(SUBSTITUTE($A55&amp;"","~","~~"),"*","~*"),"?","~?"))</f>
        <v/>
      </c>
    </row>
    <row r="56" customFormat="false" ht="15" hidden="false" customHeight="false" outlineLevel="0" collapsed="false">
      <c r="A56" s="11"/>
      <c r="B56" s="6"/>
      <c r="C56" s="11"/>
      <c r="D56" s="11"/>
      <c r="E56" s="8" t="str">
        <f aca="false">IF($A56="","",SUMIFS($C:$C,$A:$A,$H56,$B:$B,"&gt;="&amp;INT($B56),$B:$B,"&lt;"&amp;(INT($B56)+1)))</f>
        <v/>
      </c>
      <c r="F56" s="19" t="str">
        <f aca="false">IF($A56="","",IF(ISNA(MATCH($H56,Buffers!$AE:$AE,0)),"Not on Buffers",IF(NOT(ISNUMBER($B56)),"Needs a date",IF(INT($B56)&lt;PlanDate,"Past due",IF(INT($B56)=PlanDate,"Due today",IF(AND(INDEX(Buffers!$L:$L,MATCH($H56,Buffers!$AE:$AE,0))="Planned",$E56&gt;0,INT($B56)&lt;=PlanDate+ROUNDUP(IF(ISNUMBER(SpikeHorizon),SpikeHorizon,INDEX(Buffers!$D:$D,MATCH($H56,Buffers!$AE:$AE,0))),0),$E56&gt;=SpikePct*INDEX(Buffers!$P:$P,MATCH($H56,Buffers!$AE:$AE,0))),"Spike","Not qualified"))))))</f>
        <v/>
      </c>
      <c r="G56" s="8" t="str">
        <f aca="false">IF($A56="","",IF(OR($F56="Past due",$F56="Due today",$F56="Spike"),$C56,0))</f>
        <v/>
      </c>
      <c r="H56" s="8" t="str">
        <f aca="false">IF($A56="","",SUBSTITUTE(SUBSTITUTE(SUBSTITUTE($A56&amp;"","~","~~"),"*","~*"),"?","~?"))</f>
        <v/>
      </c>
    </row>
    <row r="57" customFormat="false" ht="15" hidden="false" customHeight="false" outlineLevel="0" collapsed="false">
      <c r="A57" s="11"/>
      <c r="B57" s="6"/>
      <c r="C57" s="11"/>
      <c r="D57" s="11"/>
      <c r="E57" s="8" t="str">
        <f aca="false">IF($A57="","",SUMIFS($C:$C,$A:$A,$H57,$B:$B,"&gt;="&amp;INT($B57),$B:$B,"&lt;"&amp;(INT($B57)+1)))</f>
        <v/>
      </c>
      <c r="F57" s="19" t="str">
        <f aca="false">IF($A57="","",IF(ISNA(MATCH($H57,Buffers!$AE:$AE,0)),"Not on Buffers",IF(NOT(ISNUMBER($B57)),"Needs a date",IF(INT($B57)&lt;PlanDate,"Past due",IF(INT($B57)=PlanDate,"Due today",IF(AND(INDEX(Buffers!$L:$L,MATCH($H57,Buffers!$AE:$AE,0))="Planned",$E57&gt;0,INT($B57)&lt;=PlanDate+ROUNDUP(IF(ISNUMBER(SpikeHorizon),SpikeHorizon,INDEX(Buffers!$D:$D,MATCH($H57,Buffers!$AE:$AE,0))),0),$E57&gt;=SpikePct*INDEX(Buffers!$P:$P,MATCH($H57,Buffers!$AE:$AE,0))),"Spike","Not qualified"))))))</f>
        <v/>
      </c>
      <c r="G57" s="8" t="str">
        <f aca="false">IF($A57="","",IF(OR($F57="Past due",$F57="Due today",$F57="Spike"),$C57,0))</f>
        <v/>
      </c>
      <c r="H57" s="8" t="str">
        <f aca="false">IF($A57="","",SUBSTITUTE(SUBSTITUTE(SUBSTITUTE($A57&amp;"","~","~~"),"*","~*"),"?","~?"))</f>
        <v/>
      </c>
    </row>
    <row r="58" customFormat="false" ht="15" hidden="false" customHeight="false" outlineLevel="0" collapsed="false">
      <c r="A58" s="11"/>
      <c r="B58" s="6"/>
      <c r="C58" s="11"/>
      <c r="D58" s="11"/>
      <c r="E58" s="8" t="str">
        <f aca="false">IF($A58="","",SUMIFS($C:$C,$A:$A,$H58,$B:$B,"&gt;="&amp;INT($B58),$B:$B,"&lt;"&amp;(INT($B58)+1)))</f>
        <v/>
      </c>
      <c r="F58" s="19" t="str">
        <f aca="false">IF($A58="","",IF(ISNA(MATCH($H58,Buffers!$AE:$AE,0)),"Not on Buffers",IF(NOT(ISNUMBER($B58)),"Needs a date",IF(INT($B58)&lt;PlanDate,"Past due",IF(INT($B58)=PlanDate,"Due today",IF(AND(INDEX(Buffers!$L:$L,MATCH($H58,Buffers!$AE:$AE,0))="Planned",$E58&gt;0,INT($B58)&lt;=PlanDate+ROUNDUP(IF(ISNUMBER(SpikeHorizon),SpikeHorizon,INDEX(Buffers!$D:$D,MATCH($H58,Buffers!$AE:$AE,0))),0),$E58&gt;=SpikePct*INDEX(Buffers!$P:$P,MATCH($H58,Buffers!$AE:$AE,0))),"Spike","Not qualified"))))))</f>
        <v/>
      </c>
      <c r="G58" s="8" t="str">
        <f aca="false">IF($A58="","",IF(OR($F58="Past due",$F58="Due today",$F58="Spike"),$C58,0))</f>
        <v/>
      </c>
      <c r="H58" s="8" t="str">
        <f aca="false">IF($A58="","",SUBSTITUTE(SUBSTITUTE(SUBSTITUTE($A58&amp;"","~","~~"),"*","~*"),"?","~?"))</f>
        <v/>
      </c>
    </row>
    <row r="59" customFormat="false" ht="15" hidden="false" customHeight="false" outlineLevel="0" collapsed="false">
      <c r="A59" s="11"/>
      <c r="B59" s="6"/>
      <c r="C59" s="11"/>
      <c r="D59" s="11"/>
      <c r="E59" s="8" t="str">
        <f aca="false">IF($A59="","",SUMIFS($C:$C,$A:$A,$H59,$B:$B,"&gt;="&amp;INT($B59),$B:$B,"&lt;"&amp;(INT($B59)+1)))</f>
        <v/>
      </c>
      <c r="F59" s="19" t="str">
        <f aca="false">IF($A59="","",IF(ISNA(MATCH($H59,Buffers!$AE:$AE,0)),"Not on Buffers",IF(NOT(ISNUMBER($B59)),"Needs a date",IF(INT($B59)&lt;PlanDate,"Past due",IF(INT($B59)=PlanDate,"Due today",IF(AND(INDEX(Buffers!$L:$L,MATCH($H59,Buffers!$AE:$AE,0))="Planned",$E59&gt;0,INT($B59)&lt;=PlanDate+ROUNDUP(IF(ISNUMBER(SpikeHorizon),SpikeHorizon,INDEX(Buffers!$D:$D,MATCH($H59,Buffers!$AE:$AE,0))),0),$E59&gt;=SpikePct*INDEX(Buffers!$P:$P,MATCH($H59,Buffers!$AE:$AE,0))),"Spike","Not qualified"))))))</f>
        <v/>
      </c>
      <c r="G59" s="8" t="str">
        <f aca="false">IF($A59="","",IF(OR($F59="Past due",$F59="Due today",$F59="Spike"),$C59,0))</f>
        <v/>
      </c>
      <c r="H59" s="8" t="str">
        <f aca="false">IF($A59="","",SUBSTITUTE(SUBSTITUTE(SUBSTITUTE($A59&amp;"","~","~~"),"*","~*"),"?","~?"))</f>
        <v/>
      </c>
    </row>
    <row r="60" customFormat="false" ht="15" hidden="false" customHeight="false" outlineLevel="0" collapsed="false">
      <c r="A60" s="11"/>
      <c r="B60" s="6"/>
      <c r="C60" s="11"/>
      <c r="D60" s="11"/>
      <c r="E60" s="8" t="str">
        <f aca="false">IF($A60="","",SUMIFS($C:$C,$A:$A,$H60,$B:$B,"&gt;="&amp;INT($B60),$B:$B,"&lt;"&amp;(INT($B60)+1)))</f>
        <v/>
      </c>
      <c r="F60" s="19" t="str">
        <f aca="false">IF($A60="","",IF(ISNA(MATCH($H60,Buffers!$AE:$AE,0)),"Not on Buffers",IF(NOT(ISNUMBER($B60)),"Needs a date",IF(INT($B60)&lt;PlanDate,"Past due",IF(INT($B60)=PlanDate,"Due today",IF(AND(INDEX(Buffers!$L:$L,MATCH($H60,Buffers!$AE:$AE,0))="Planned",$E60&gt;0,INT($B60)&lt;=PlanDate+ROUNDUP(IF(ISNUMBER(SpikeHorizon),SpikeHorizon,INDEX(Buffers!$D:$D,MATCH($H60,Buffers!$AE:$AE,0))),0),$E60&gt;=SpikePct*INDEX(Buffers!$P:$P,MATCH($H60,Buffers!$AE:$AE,0))),"Spike","Not qualified"))))))</f>
        <v/>
      </c>
      <c r="G60" s="8" t="str">
        <f aca="false">IF($A60="","",IF(OR($F60="Past due",$F60="Due today",$F60="Spike"),$C60,0))</f>
        <v/>
      </c>
      <c r="H60" s="8" t="str">
        <f aca="false">IF($A60="","",SUBSTITUTE(SUBSTITUTE(SUBSTITUTE($A60&amp;"","~","~~"),"*","~*"),"?","~?"))</f>
        <v/>
      </c>
    </row>
    <row r="61" customFormat="false" ht="15" hidden="false" customHeight="false" outlineLevel="0" collapsed="false">
      <c r="A61" s="11"/>
      <c r="B61" s="6"/>
      <c r="C61" s="11"/>
      <c r="D61" s="11"/>
      <c r="E61" s="8" t="str">
        <f aca="false">IF($A61="","",SUMIFS($C:$C,$A:$A,$H61,$B:$B,"&gt;="&amp;INT($B61),$B:$B,"&lt;"&amp;(INT($B61)+1)))</f>
        <v/>
      </c>
      <c r="F61" s="19" t="str">
        <f aca="false">IF($A61="","",IF(ISNA(MATCH($H61,Buffers!$AE:$AE,0)),"Not on Buffers",IF(NOT(ISNUMBER($B61)),"Needs a date",IF(INT($B61)&lt;PlanDate,"Past due",IF(INT($B61)=PlanDate,"Due today",IF(AND(INDEX(Buffers!$L:$L,MATCH($H61,Buffers!$AE:$AE,0))="Planned",$E61&gt;0,INT($B61)&lt;=PlanDate+ROUNDUP(IF(ISNUMBER(SpikeHorizon),SpikeHorizon,INDEX(Buffers!$D:$D,MATCH($H61,Buffers!$AE:$AE,0))),0),$E61&gt;=SpikePct*INDEX(Buffers!$P:$P,MATCH($H61,Buffers!$AE:$AE,0))),"Spike","Not qualified"))))))</f>
        <v/>
      </c>
      <c r="G61" s="8" t="str">
        <f aca="false">IF($A61="","",IF(OR($F61="Past due",$F61="Due today",$F61="Spike"),$C61,0))</f>
        <v/>
      </c>
      <c r="H61" s="8" t="str">
        <f aca="false">IF($A61="","",SUBSTITUTE(SUBSTITUTE(SUBSTITUTE($A61&amp;"","~","~~"),"*","~*"),"?","~?"))</f>
        <v/>
      </c>
    </row>
    <row r="62" customFormat="false" ht="15" hidden="false" customHeight="false" outlineLevel="0" collapsed="false">
      <c r="A62" s="11"/>
      <c r="B62" s="6"/>
      <c r="C62" s="11"/>
      <c r="D62" s="11"/>
      <c r="E62" s="8" t="str">
        <f aca="false">IF($A62="","",SUMIFS($C:$C,$A:$A,$H62,$B:$B,"&gt;="&amp;INT($B62),$B:$B,"&lt;"&amp;(INT($B62)+1)))</f>
        <v/>
      </c>
      <c r="F62" s="19" t="str">
        <f aca="false">IF($A62="","",IF(ISNA(MATCH($H62,Buffers!$AE:$AE,0)),"Not on Buffers",IF(NOT(ISNUMBER($B62)),"Needs a date",IF(INT($B62)&lt;PlanDate,"Past due",IF(INT($B62)=PlanDate,"Due today",IF(AND(INDEX(Buffers!$L:$L,MATCH($H62,Buffers!$AE:$AE,0))="Planned",$E62&gt;0,INT($B62)&lt;=PlanDate+ROUNDUP(IF(ISNUMBER(SpikeHorizon),SpikeHorizon,INDEX(Buffers!$D:$D,MATCH($H62,Buffers!$AE:$AE,0))),0),$E62&gt;=SpikePct*INDEX(Buffers!$P:$P,MATCH($H62,Buffers!$AE:$AE,0))),"Spike","Not qualified"))))))</f>
        <v/>
      </c>
      <c r="G62" s="8" t="str">
        <f aca="false">IF($A62="","",IF(OR($F62="Past due",$F62="Due today",$F62="Spike"),$C62,0))</f>
        <v/>
      </c>
      <c r="H62" s="8" t="str">
        <f aca="false">IF($A62="","",SUBSTITUTE(SUBSTITUTE(SUBSTITUTE($A62&amp;"","~","~~"),"*","~*"),"?","~?"))</f>
        <v/>
      </c>
    </row>
    <row r="63" customFormat="false" ht="15" hidden="false" customHeight="false" outlineLevel="0" collapsed="false">
      <c r="A63" s="11"/>
      <c r="B63" s="6"/>
      <c r="C63" s="11"/>
      <c r="D63" s="11"/>
      <c r="E63" s="8" t="str">
        <f aca="false">IF($A63="","",SUMIFS($C:$C,$A:$A,$H63,$B:$B,"&gt;="&amp;INT($B63),$B:$B,"&lt;"&amp;(INT($B63)+1)))</f>
        <v/>
      </c>
      <c r="F63" s="19" t="str">
        <f aca="false">IF($A63="","",IF(ISNA(MATCH($H63,Buffers!$AE:$AE,0)),"Not on Buffers",IF(NOT(ISNUMBER($B63)),"Needs a date",IF(INT($B63)&lt;PlanDate,"Past due",IF(INT($B63)=PlanDate,"Due today",IF(AND(INDEX(Buffers!$L:$L,MATCH($H63,Buffers!$AE:$AE,0))="Planned",$E63&gt;0,INT($B63)&lt;=PlanDate+ROUNDUP(IF(ISNUMBER(SpikeHorizon),SpikeHorizon,INDEX(Buffers!$D:$D,MATCH($H63,Buffers!$AE:$AE,0))),0),$E63&gt;=SpikePct*INDEX(Buffers!$P:$P,MATCH($H63,Buffers!$AE:$AE,0))),"Spike","Not qualified"))))))</f>
        <v/>
      </c>
      <c r="G63" s="8" t="str">
        <f aca="false">IF($A63="","",IF(OR($F63="Past due",$F63="Due today",$F63="Spike"),$C63,0))</f>
        <v/>
      </c>
      <c r="H63" s="8" t="str">
        <f aca="false">IF($A63="","",SUBSTITUTE(SUBSTITUTE(SUBSTITUTE($A63&amp;"","~","~~"),"*","~*"),"?","~?"))</f>
        <v/>
      </c>
    </row>
    <row r="64" customFormat="false" ht="15" hidden="false" customHeight="false" outlineLevel="0" collapsed="false">
      <c r="A64" s="11"/>
      <c r="B64" s="6"/>
      <c r="C64" s="11"/>
      <c r="D64" s="11"/>
      <c r="E64" s="8" t="str">
        <f aca="false">IF($A64="","",SUMIFS($C:$C,$A:$A,$H64,$B:$B,"&gt;="&amp;INT($B64),$B:$B,"&lt;"&amp;(INT($B64)+1)))</f>
        <v/>
      </c>
      <c r="F64" s="19" t="str">
        <f aca="false">IF($A64="","",IF(ISNA(MATCH($H64,Buffers!$AE:$AE,0)),"Not on Buffers",IF(NOT(ISNUMBER($B64)),"Needs a date",IF(INT($B64)&lt;PlanDate,"Past due",IF(INT($B64)=PlanDate,"Due today",IF(AND(INDEX(Buffers!$L:$L,MATCH($H64,Buffers!$AE:$AE,0))="Planned",$E64&gt;0,INT($B64)&lt;=PlanDate+ROUNDUP(IF(ISNUMBER(SpikeHorizon),SpikeHorizon,INDEX(Buffers!$D:$D,MATCH($H64,Buffers!$AE:$AE,0))),0),$E64&gt;=SpikePct*INDEX(Buffers!$P:$P,MATCH($H64,Buffers!$AE:$AE,0))),"Spike","Not qualified"))))))</f>
        <v/>
      </c>
      <c r="G64" s="8" t="str">
        <f aca="false">IF($A64="","",IF(OR($F64="Past due",$F64="Due today",$F64="Spike"),$C64,0))</f>
        <v/>
      </c>
      <c r="H64" s="8" t="str">
        <f aca="false">IF($A64="","",SUBSTITUTE(SUBSTITUTE(SUBSTITUTE($A64&amp;"","~","~~"),"*","~*"),"?","~?"))</f>
        <v/>
      </c>
    </row>
    <row r="65" customFormat="false" ht="15" hidden="false" customHeight="false" outlineLevel="0" collapsed="false">
      <c r="A65" s="11"/>
      <c r="B65" s="6"/>
      <c r="C65" s="11"/>
      <c r="D65" s="11"/>
      <c r="E65" s="8" t="str">
        <f aca="false">IF($A65="","",SUMIFS($C:$C,$A:$A,$H65,$B:$B,"&gt;="&amp;INT($B65),$B:$B,"&lt;"&amp;(INT($B65)+1)))</f>
        <v/>
      </c>
      <c r="F65" s="19" t="str">
        <f aca="false">IF($A65="","",IF(ISNA(MATCH($H65,Buffers!$AE:$AE,0)),"Not on Buffers",IF(NOT(ISNUMBER($B65)),"Needs a date",IF(INT($B65)&lt;PlanDate,"Past due",IF(INT($B65)=PlanDate,"Due today",IF(AND(INDEX(Buffers!$L:$L,MATCH($H65,Buffers!$AE:$AE,0))="Planned",$E65&gt;0,INT($B65)&lt;=PlanDate+ROUNDUP(IF(ISNUMBER(SpikeHorizon),SpikeHorizon,INDEX(Buffers!$D:$D,MATCH($H65,Buffers!$AE:$AE,0))),0),$E65&gt;=SpikePct*INDEX(Buffers!$P:$P,MATCH($H65,Buffers!$AE:$AE,0))),"Spike","Not qualified"))))))</f>
        <v/>
      </c>
      <c r="G65" s="8" t="str">
        <f aca="false">IF($A65="","",IF(OR($F65="Past due",$F65="Due today",$F65="Spike"),$C65,0))</f>
        <v/>
      </c>
      <c r="H65" s="8" t="str">
        <f aca="false">IF($A65="","",SUBSTITUTE(SUBSTITUTE(SUBSTITUTE($A65&amp;"","~","~~"),"*","~*"),"?","~?"))</f>
        <v/>
      </c>
    </row>
    <row r="66" customFormat="false" ht="15" hidden="false" customHeight="false" outlineLevel="0" collapsed="false">
      <c r="A66" s="11"/>
      <c r="B66" s="6"/>
      <c r="C66" s="11"/>
      <c r="D66" s="11"/>
      <c r="E66" s="8" t="str">
        <f aca="false">IF($A66="","",SUMIFS($C:$C,$A:$A,$H66,$B:$B,"&gt;="&amp;INT($B66),$B:$B,"&lt;"&amp;(INT($B66)+1)))</f>
        <v/>
      </c>
      <c r="F66" s="19" t="str">
        <f aca="false">IF($A66="","",IF(ISNA(MATCH($H66,Buffers!$AE:$AE,0)),"Not on Buffers",IF(NOT(ISNUMBER($B66)),"Needs a date",IF(INT($B66)&lt;PlanDate,"Past due",IF(INT($B66)=PlanDate,"Due today",IF(AND(INDEX(Buffers!$L:$L,MATCH($H66,Buffers!$AE:$AE,0))="Planned",$E66&gt;0,INT($B66)&lt;=PlanDate+ROUNDUP(IF(ISNUMBER(SpikeHorizon),SpikeHorizon,INDEX(Buffers!$D:$D,MATCH($H66,Buffers!$AE:$AE,0))),0),$E66&gt;=SpikePct*INDEX(Buffers!$P:$P,MATCH($H66,Buffers!$AE:$AE,0))),"Spike","Not qualified"))))))</f>
        <v/>
      </c>
      <c r="G66" s="8" t="str">
        <f aca="false">IF($A66="","",IF(OR($F66="Past due",$F66="Due today",$F66="Spike"),$C66,0))</f>
        <v/>
      </c>
      <c r="H66" s="8" t="str">
        <f aca="false">IF($A66="","",SUBSTITUTE(SUBSTITUTE(SUBSTITUTE($A66&amp;"","~","~~"),"*","~*"),"?","~?"))</f>
        <v/>
      </c>
    </row>
    <row r="67" customFormat="false" ht="15" hidden="false" customHeight="false" outlineLevel="0" collapsed="false">
      <c r="A67" s="11"/>
      <c r="B67" s="6"/>
      <c r="C67" s="11"/>
      <c r="D67" s="11"/>
      <c r="E67" s="8" t="str">
        <f aca="false">IF($A67="","",SUMIFS($C:$C,$A:$A,$H67,$B:$B,"&gt;="&amp;INT($B67),$B:$B,"&lt;"&amp;(INT($B67)+1)))</f>
        <v/>
      </c>
      <c r="F67" s="19" t="str">
        <f aca="false">IF($A67="","",IF(ISNA(MATCH($H67,Buffers!$AE:$AE,0)),"Not on Buffers",IF(NOT(ISNUMBER($B67)),"Needs a date",IF(INT($B67)&lt;PlanDate,"Past due",IF(INT($B67)=PlanDate,"Due today",IF(AND(INDEX(Buffers!$L:$L,MATCH($H67,Buffers!$AE:$AE,0))="Planned",$E67&gt;0,INT($B67)&lt;=PlanDate+ROUNDUP(IF(ISNUMBER(SpikeHorizon),SpikeHorizon,INDEX(Buffers!$D:$D,MATCH($H67,Buffers!$AE:$AE,0))),0),$E67&gt;=SpikePct*INDEX(Buffers!$P:$P,MATCH($H67,Buffers!$AE:$AE,0))),"Spike","Not qualified"))))))</f>
        <v/>
      </c>
      <c r="G67" s="8" t="str">
        <f aca="false">IF($A67="","",IF(OR($F67="Past due",$F67="Due today",$F67="Spike"),$C67,0))</f>
        <v/>
      </c>
      <c r="H67" s="8" t="str">
        <f aca="false">IF($A67="","",SUBSTITUTE(SUBSTITUTE(SUBSTITUTE($A67&amp;"","~","~~"),"*","~*"),"?","~?"))</f>
        <v/>
      </c>
    </row>
    <row r="68" customFormat="false" ht="15" hidden="false" customHeight="false" outlineLevel="0" collapsed="false">
      <c r="A68" s="11"/>
      <c r="B68" s="6"/>
      <c r="C68" s="11"/>
      <c r="D68" s="11"/>
      <c r="E68" s="8" t="str">
        <f aca="false">IF($A68="","",SUMIFS($C:$C,$A:$A,$H68,$B:$B,"&gt;="&amp;INT($B68),$B:$B,"&lt;"&amp;(INT($B68)+1)))</f>
        <v/>
      </c>
      <c r="F68" s="19" t="str">
        <f aca="false">IF($A68="","",IF(ISNA(MATCH($H68,Buffers!$AE:$AE,0)),"Not on Buffers",IF(NOT(ISNUMBER($B68)),"Needs a date",IF(INT($B68)&lt;PlanDate,"Past due",IF(INT($B68)=PlanDate,"Due today",IF(AND(INDEX(Buffers!$L:$L,MATCH($H68,Buffers!$AE:$AE,0))="Planned",$E68&gt;0,INT($B68)&lt;=PlanDate+ROUNDUP(IF(ISNUMBER(SpikeHorizon),SpikeHorizon,INDEX(Buffers!$D:$D,MATCH($H68,Buffers!$AE:$AE,0))),0),$E68&gt;=SpikePct*INDEX(Buffers!$P:$P,MATCH($H68,Buffers!$AE:$AE,0))),"Spike","Not qualified"))))))</f>
        <v/>
      </c>
      <c r="G68" s="8" t="str">
        <f aca="false">IF($A68="","",IF(OR($F68="Past due",$F68="Due today",$F68="Spike"),$C68,0))</f>
        <v/>
      </c>
      <c r="H68" s="8" t="str">
        <f aca="false">IF($A68="","",SUBSTITUTE(SUBSTITUTE(SUBSTITUTE($A68&amp;"","~","~~"),"*","~*"),"?","~?"))</f>
        <v/>
      </c>
    </row>
    <row r="69" customFormat="false" ht="15" hidden="false" customHeight="false" outlineLevel="0" collapsed="false">
      <c r="A69" s="11"/>
      <c r="B69" s="6"/>
      <c r="C69" s="11"/>
      <c r="D69" s="11"/>
      <c r="E69" s="8" t="str">
        <f aca="false">IF($A69="","",SUMIFS($C:$C,$A:$A,$H69,$B:$B,"&gt;="&amp;INT($B69),$B:$B,"&lt;"&amp;(INT($B69)+1)))</f>
        <v/>
      </c>
      <c r="F69" s="19" t="str">
        <f aca="false">IF($A69="","",IF(ISNA(MATCH($H69,Buffers!$AE:$AE,0)),"Not on Buffers",IF(NOT(ISNUMBER($B69)),"Needs a date",IF(INT($B69)&lt;PlanDate,"Past due",IF(INT($B69)=PlanDate,"Due today",IF(AND(INDEX(Buffers!$L:$L,MATCH($H69,Buffers!$AE:$AE,0))="Planned",$E69&gt;0,INT($B69)&lt;=PlanDate+ROUNDUP(IF(ISNUMBER(SpikeHorizon),SpikeHorizon,INDEX(Buffers!$D:$D,MATCH($H69,Buffers!$AE:$AE,0))),0),$E69&gt;=SpikePct*INDEX(Buffers!$P:$P,MATCH($H69,Buffers!$AE:$AE,0))),"Spike","Not qualified"))))))</f>
        <v/>
      </c>
      <c r="G69" s="8" t="str">
        <f aca="false">IF($A69="","",IF(OR($F69="Past due",$F69="Due today",$F69="Spike"),$C69,0))</f>
        <v/>
      </c>
      <c r="H69" s="8" t="str">
        <f aca="false">IF($A69="","",SUBSTITUTE(SUBSTITUTE(SUBSTITUTE($A69&amp;"","~","~~"),"*","~*"),"?","~?"))</f>
        <v/>
      </c>
    </row>
    <row r="70" customFormat="false" ht="15" hidden="false" customHeight="false" outlineLevel="0" collapsed="false">
      <c r="A70" s="11"/>
      <c r="B70" s="6"/>
      <c r="C70" s="11"/>
      <c r="D70" s="11"/>
      <c r="E70" s="8" t="str">
        <f aca="false">IF($A70="","",SUMIFS($C:$C,$A:$A,$H70,$B:$B,"&gt;="&amp;INT($B70),$B:$B,"&lt;"&amp;(INT($B70)+1)))</f>
        <v/>
      </c>
      <c r="F70" s="19" t="str">
        <f aca="false">IF($A70="","",IF(ISNA(MATCH($H70,Buffers!$AE:$AE,0)),"Not on Buffers",IF(NOT(ISNUMBER($B70)),"Needs a date",IF(INT($B70)&lt;PlanDate,"Past due",IF(INT($B70)=PlanDate,"Due today",IF(AND(INDEX(Buffers!$L:$L,MATCH($H70,Buffers!$AE:$AE,0))="Planned",$E70&gt;0,INT($B70)&lt;=PlanDate+ROUNDUP(IF(ISNUMBER(SpikeHorizon),SpikeHorizon,INDEX(Buffers!$D:$D,MATCH($H70,Buffers!$AE:$AE,0))),0),$E70&gt;=SpikePct*INDEX(Buffers!$P:$P,MATCH($H70,Buffers!$AE:$AE,0))),"Spike","Not qualified"))))))</f>
        <v/>
      </c>
      <c r="G70" s="8" t="str">
        <f aca="false">IF($A70="","",IF(OR($F70="Past due",$F70="Due today",$F70="Spike"),$C70,0))</f>
        <v/>
      </c>
      <c r="H70" s="8" t="str">
        <f aca="false">IF($A70="","",SUBSTITUTE(SUBSTITUTE(SUBSTITUTE($A70&amp;"","~","~~"),"*","~*"),"?","~?"))</f>
        <v/>
      </c>
    </row>
    <row r="71" customFormat="false" ht="15" hidden="false" customHeight="false" outlineLevel="0" collapsed="false">
      <c r="A71" s="11"/>
      <c r="B71" s="6"/>
      <c r="C71" s="11"/>
      <c r="D71" s="11"/>
      <c r="E71" s="8" t="str">
        <f aca="false">IF($A71="","",SUMIFS($C:$C,$A:$A,$H71,$B:$B,"&gt;="&amp;INT($B71),$B:$B,"&lt;"&amp;(INT($B71)+1)))</f>
        <v/>
      </c>
      <c r="F71" s="19" t="str">
        <f aca="false">IF($A71="","",IF(ISNA(MATCH($H71,Buffers!$AE:$AE,0)),"Not on Buffers",IF(NOT(ISNUMBER($B71)),"Needs a date",IF(INT($B71)&lt;PlanDate,"Past due",IF(INT($B71)=PlanDate,"Due today",IF(AND(INDEX(Buffers!$L:$L,MATCH($H71,Buffers!$AE:$AE,0))="Planned",$E71&gt;0,INT($B71)&lt;=PlanDate+ROUNDUP(IF(ISNUMBER(SpikeHorizon),SpikeHorizon,INDEX(Buffers!$D:$D,MATCH($H71,Buffers!$AE:$AE,0))),0),$E71&gt;=SpikePct*INDEX(Buffers!$P:$P,MATCH($H71,Buffers!$AE:$AE,0))),"Spike","Not qualified"))))))</f>
        <v/>
      </c>
      <c r="G71" s="8" t="str">
        <f aca="false">IF($A71="","",IF(OR($F71="Past due",$F71="Due today",$F71="Spike"),$C71,0))</f>
        <v/>
      </c>
      <c r="H71" s="8" t="str">
        <f aca="false">IF($A71="","",SUBSTITUTE(SUBSTITUTE(SUBSTITUTE($A71&amp;"","~","~~"),"*","~*"),"?","~?"))</f>
        <v/>
      </c>
    </row>
    <row r="72" customFormat="false" ht="15" hidden="false" customHeight="false" outlineLevel="0" collapsed="false">
      <c r="A72" s="11"/>
      <c r="B72" s="6"/>
      <c r="C72" s="11"/>
      <c r="D72" s="11"/>
      <c r="E72" s="8" t="str">
        <f aca="false">IF($A72="","",SUMIFS($C:$C,$A:$A,$H72,$B:$B,"&gt;="&amp;INT($B72),$B:$B,"&lt;"&amp;(INT($B72)+1)))</f>
        <v/>
      </c>
      <c r="F72" s="19" t="str">
        <f aca="false">IF($A72="","",IF(ISNA(MATCH($H72,Buffers!$AE:$AE,0)),"Not on Buffers",IF(NOT(ISNUMBER($B72)),"Needs a date",IF(INT($B72)&lt;PlanDate,"Past due",IF(INT($B72)=PlanDate,"Due today",IF(AND(INDEX(Buffers!$L:$L,MATCH($H72,Buffers!$AE:$AE,0))="Planned",$E72&gt;0,INT($B72)&lt;=PlanDate+ROUNDUP(IF(ISNUMBER(SpikeHorizon),SpikeHorizon,INDEX(Buffers!$D:$D,MATCH($H72,Buffers!$AE:$AE,0))),0),$E72&gt;=SpikePct*INDEX(Buffers!$P:$P,MATCH($H72,Buffers!$AE:$AE,0))),"Spike","Not qualified"))))))</f>
        <v/>
      </c>
      <c r="G72" s="8" t="str">
        <f aca="false">IF($A72="","",IF(OR($F72="Past due",$F72="Due today",$F72="Spike"),$C72,0))</f>
        <v/>
      </c>
      <c r="H72" s="8" t="str">
        <f aca="false">IF($A72="","",SUBSTITUTE(SUBSTITUTE(SUBSTITUTE($A72&amp;"","~","~~"),"*","~*"),"?","~?"))</f>
        <v/>
      </c>
    </row>
    <row r="73" customFormat="false" ht="15" hidden="false" customHeight="false" outlineLevel="0" collapsed="false">
      <c r="A73" s="11"/>
      <c r="B73" s="6"/>
      <c r="C73" s="11"/>
      <c r="D73" s="11"/>
      <c r="E73" s="8" t="str">
        <f aca="false">IF($A73="","",SUMIFS($C:$C,$A:$A,$H73,$B:$B,"&gt;="&amp;INT($B73),$B:$B,"&lt;"&amp;(INT($B73)+1)))</f>
        <v/>
      </c>
      <c r="F73" s="19" t="str">
        <f aca="false">IF($A73="","",IF(ISNA(MATCH($H73,Buffers!$AE:$AE,0)),"Not on Buffers",IF(NOT(ISNUMBER($B73)),"Needs a date",IF(INT($B73)&lt;PlanDate,"Past due",IF(INT($B73)=PlanDate,"Due today",IF(AND(INDEX(Buffers!$L:$L,MATCH($H73,Buffers!$AE:$AE,0))="Planned",$E73&gt;0,INT($B73)&lt;=PlanDate+ROUNDUP(IF(ISNUMBER(SpikeHorizon),SpikeHorizon,INDEX(Buffers!$D:$D,MATCH($H73,Buffers!$AE:$AE,0))),0),$E73&gt;=SpikePct*INDEX(Buffers!$P:$P,MATCH($H73,Buffers!$AE:$AE,0))),"Spike","Not qualified"))))))</f>
        <v/>
      </c>
      <c r="G73" s="8" t="str">
        <f aca="false">IF($A73="","",IF(OR($F73="Past due",$F73="Due today",$F73="Spike"),$C73,0))</f>
        <v/>
      </c>
      <c r="H73" s="8" t="str">
        <f aca="false">IF($A73="","",SUBSTITUTE(SUBSTITUTE(SUBSTITUTE($A73&amp;"","~","~~"),"*","~*"),"?","~?"))</f>
        <v/>
      </c>
    </row>
    <row r="74" customFormat="false" ht="15" hidden="false" customHeight="false" outlineLevel="0" collapsed="false">
      <c r="A74" s="11"/>
      <c r="B74" s="6"/>
      <c r="C74" s="11"/>
      <c r="D74" s="11"/>
      <c r="E74" s="8" t="str">
        <f aca="false">IF($A74="","",SUMIFS($C:$C,$A:$A,$H74,$B:$B,"&gt;="&amp;INT($B74),$B:$B,"&lt;"&amp;(INT($B74)+1)))</f>
        <v/>
      </c>
      <c r="F74" s="19" t="str">
        <f aca="false">IF($A74="","",IF(ISNA(MATCH($H74,Buffers!$AE:$AE,0)),"Not on Buffers",IF(NOT(ISNUMBER($B74)),"Needs a date",IF(INT($B74)&lt;PlanDate,"Past due",IF(INT($B74)=PlanDate,"Due today",IF(AND(INDEX(Buffers!$L:$L,MATCH($H74,Buffers!$AE:$AE,0))="Planned",$E74&gt;0,INT($B74)&lt;=PlanDate+ROUNDUP(IF(ISNUMBER(SpikeHorizon),SpikeHorizon,INDEX(Buffers!$D:$D,MATCH($H74,Buffers!$AE:$AE,0))),0),$E74&gt;=SpikePct*INDEX(Buffers!$P:$P,MATCH($H74,Buffers!$AE:$AE,0))),"Spike","Not qualified"))))))</f>
        <v/>
      </c>
      <c r="G74" s="8" t="str">
        <f aca="false">IF($A74="","",IF(OR($F74="Past due",$F74="Due today",$F74="Spike"),$C74,0))</f>
        <v/>
      </c>
      <c r="H74" s="8" t="str">
        <f aca="false">IF($A74="","",SUBSTITUTE(SUBSTITUTE(SUBSTITUTE($A74&amp;"","~","~~"),"*","~*"),"?","~?"))</f>
        <v/>
      </c>
    </row>
    <row r="75" customFormat="false" ht="15" hidden="false" customHeight="false" outlineLevel="0" collapsed="false">
      <c r="A75" s="11"/>
      <c r="B75" s="6"/>
      <c r="C75" s="11"/>
      <c r="D75" s="11"/>
      <c r="E75" s="8" t="str">
        <f aca="false">IF($A75="","",SUMIFS($C:$C,$A:$A,$H75,$B:$B,"&gt;="&amp;INT($B75),$B:$B,"&lt;"&amp;(INT($B75)+1)))</f>
        <v/>
      </c>
      <c r="F75" s="19" t="str">
        <f aca="false">IF($A75="","",IF(ISNA(MATCH($H75,Buffers!$AE:$AE,0)),"Not on Buffers",IF(NOT(ISNUMBER($B75)),"Needs a date",IF(INT($B75)&lt;PlanDate,"Past due",IF(INT($B75)=PlanDate,"Due today",IF(AND(INDEX(Buffers!$L:$L,MATCH($H75,Buffers!$AE:$AE,0))="Planned",$E75&gt;0,INT($B75)&lt;=PlanDate+ROUNDUP(IF(ISNUMBER(SpikeHorizon),SpikeHorizon,INDEX(Buffers!$D:$D,MATCH($H75,Buffers!$AE:$AE,0))),0),$E75&gt;=SpikePct*INDEX(Buffers!$P:$P,MATCH($H75,Buffers!$AE:$AE,0))),"Spike","Not qualified"))))))</f>
        <v/>
      </c>
      <c r="G75" s="8" t="str">
        <f aca="false">IF($A75="","",IF(OR($F75="Past due",$F75="Due today",$F75="Spike"),$C75,0))</f>
        <v/>
      </c>
      <c r="H75" s="8" t="str">
        <f aca="false">IF($A75="","",SUBSTITUTE(SUBSTITUTE(SUBSTITUTE($A75&amp;"","~","~~"),"*","~*"),"?","~?"))</f>
        <v/>
      </c>
    </row>
    <row r="76" customFormat="false" ht="15" hidden="false" customHeight="false" outlineLevel="0" collapsed="false">
      <c r="A76" s="11"/>
      <c r="B76" s="6"/>
      <c r="C76" s="11"/>
      <c r="D76" s="11"/>
      <c r="E76" s="8" t="str">
        <f aca="false">IF($A76="","",SUMIFS($C:$C,$A:$A,$H76,$B:$B,"&gt;="&amp;INT($B76),$B:$B,"&lt;"&amp;(INT($B76)+1)))</f>
        <v/>
      </c>
      <c r="F76" s="19" t="str">
        <f aca="false">IF($A76="","",IF(ISNA(MATCH($H76,Buffers!$AE:$AE,0)),"Not on Buffers",IF(NOT(ISNUMBER($B76)),"Needs a date",IF(INT($B76)&lt;PlanDate,"Past due",IF(INT($B76)=PlanDate,"Due today",IF(AND(INDEX(Buffers!$L:$L,MATCH($H76,Buffers!$AE:$AE,0))="Planned",$E76&gt;0,INT($B76)&lt;=PlanDate+ROUNDUP(IF(ISNUMBER(SpikeHorizon),SpikeHorizon,INDEX(Buffers!$D:$D,MATCH($H76,Buffers!$AE:$AE,0))),0),$E76&gt;=SpikePct*INDEX(Buffers!$P:$P,MATCH($H76,Buffers!$AE:$AE,0))),"Spike","Not qualified"))))))</f>
        <v/>
      </c>
      <c r="G76" s="8" t="str">
        <f aca="false">IF($A76="","",IF(OR($F76="Past due",$F76="Due today",$F76="Spike"),$C76,0))</f>
        <v/>
      </c>
      <c r="H76" s="8" t="str">
        <f aca="false">IF($A76="","",SUBSTITUTE(SUBSTITUTE(SUBSTITUTE($A76&amp;"","~","~~"),"*","~*"),"?","~?"))</f>
        <v/>
      </c>
    </row>
    <row r="77" customFormat="false" ht="15" hidden="false" customHeight="false" outlineLevel="0" collapsed="false">
      <c r="A77" s="11"/>
      <c r="B77" s="6"/>
      <c r="C77" s="11"/>
      <c r="D77" s="11"/>
      <c r="E77" s="8" t="str">
        <f aca="false">IF($A77="","",SUMIFS($C:$C,$A:$A,$H77,$B:$B,"&gt;="&amp;INT($B77),$B:$B,"&lt;"&amp;(INT($B77)+1)))</f>
        <v/>
      </c>
      <c r="F77" s="19" t="str">
        <f aca="false">IF($A77="","",IF(ISNA(MATCH($H77,Buffers!$AE:$AE,0)),"Not on Buffers",IF(NOT(ISNUMBER($B77)),"Needs a date",IF(INT($B77)&lt;PlanDate,"Past due",IF(INT($B77)=PlanDate,"Due today",IF(AND(INDEX(Buffers!$L:$L,MATCH($H77,Buffers!$AE:$AE,0))="Planned",$E77&gt;0,INT($B77)&lt;=PlanDate+ROUNDUP(IF(ISNUMBER(SpikeHorizon),SpikeHorizon,INDEX(Buffers!$D:$D,MATCH($H77,Buffers!$AE:$AE,0))),0),$E77&gt;=SpikePct*INDEX(Buffers!$P:$P,MATCH($H77,Buffers!$AE:$AE,0))),"Spike","Not qualified"))))))</f>
        <v/>
      </c>
      <c r="G77" s="8" t="str">
        <f aca="false">IF($A77="","",IF(OR($F77="Past due",$F77="Due today",$F77="Spike"),$C77,0))</f>
        <v/>
      </c>
      <c r="H77" s="8" t="str">
        <f aca="false">IF($A77="","",SUBSTITUTE(SUBSTITUTE(SUBSTITUTE($A77&amp;"","~","~~"),"*","~*"),"?","~?"))</f>
        <v/>
      </c>
    </row>
    <row r="78" customFormat="false" ht="15" hidden="false" customHeight="false" outlineLevel="0" collapsed="false">
      <c r="A78" s="11"/>
      <c r="B78" s="6"/>
      <c r="C78" s="11"/>
      <c r="D78" s="11"/>
      <c r="E78" s="8" t="str">
        <f aca="false">IF($A78="","",SUMIFS($C:$C,$A:$A,$H78,$B:$B,"&gt;="&amp;INT($B78),$B:$B,"&lt;"&amp;(INT($B78)+1)))</f>
        <v/>
      </c>
      <c r="F78" s="19" t="str">
        <f aca="false">IF($A78="","",IF(ISNA(MATCH($H78,Buffers!$AE:$AE,0)),"Not on Buffers",IF(NOT(ISNUMBER($B78)),"Needs a date",IF(INT($B78)&lt;PlanDate,"Past due",IF(INT($B78)=PlanDate,"Due today",IF(AND(INDEX(Buffers!$L:$L,MATCH($H78,Buffers!$AE:$AE,0))="Planned",$E78&gt;0,INT($B78)&lt;=PlanDate+ROUNDUP(IF(ISNUMBER(SpikeHorizon),SpikeHorizon,INDEX(Buffers!$D:$D,MATCH($H78,Buffers!$AE:$AE,0))),0),$E78&gt;=SpikePct*INDEX(Buffers!$P:$P,MATCH($H78,Buffers!$AE:$AE,0))),"Spike","Not qualified"))))))</f>
        <v/>
      </c>
      <c r="G78" s="8" t="str">
        <f aca="false">IF($A78="","",IF(OR($F78="Past due",$F78="Due today",$F78="Spike"),$C78,0))</f>
        <v/>
      </c>
      <c r="H78" s="8" t="str">
        <f aca="false">IF($A78="","",SUBSTITUTE(SUBSTITUTE(SUBSTITUTE($A78&amp;"","~","~~"),"*","~*"),"?","~?"))</f>
        <v/>
      </c>
    </row>
    <row r="79" customFormat="false" ht="15" hidden="false" customHeight="false" outlineLevel="0" collapsed="false">
      <c r="A79" s="11"/>
      <c r="B79" s="6"/>
      <c r="C79" s="11"/>
      <c r="D79" s="11"/>
      <c r="E79" s="8" t="str">
        <f aca="false">IF($A79="","",SUMIFS($C:$C,$A:$A,$H79,$B:$B,"&gt;="&amp;INT($B79),$B:$B,"&lt;"&amp;(INT($B79)+1)))</f>
        <v/>
      </c>
      <c r="F79" s="19" t="str">
        <f aca="false">IF($A79="","",IF(ISNA(MATCH($H79,Buffers!$AE:$AE,0)),"Not on Buffers",IF(NOT(ISNUMBER($B79)),"Needs a date",IF(INT($B79)&lt;PlanDate,"Past due",IF(INT($B79)=PlanDate,"Due today",IF(AND(INDEX(Buffers!$L:$L,MATCH($H79,Buffers!$AE:$AE,0))="Planned",$E79&gt;0,INT($B79)&lt;=PlanDate+ROUNDUP(IF(ISNUMBER(SpikeHorizon),SpikeHorizon,INDEX(Buffers!$D:$D,MATCH($H79,Buffers!$AE:$AE,0))),0),$E79&gt;=SpikePct*INDEX(Buffers!$P:$P,MATCH($H79,Buffers!$AE:$AE,0))),"Spike","Not qualified"))))))</f>
        <v/>
      </c>
      <c r="G79" s="8" t="str">
        <f aca="false">IF($A79="","",IF(OR($F79="Past due",$F79="Due today",$F79="Spike"),$C79,0))</f>
        <v/>
      </c>
      <c r="H79" s="8" t="str">
        <f aca="false">IF($A79="","",SUBSTITUTE(SUBSTITUTE(SUBSTITUTE($A79&amp;"","~","~~"),"*","~*"),"?","~?"))</f>
        <v/>
      </c>
    </row>
    <row r="80" customFormat="false" ht="15" hidden="false" customHeight="false" outlineLevel="0" collapsed="false">
      <c r="A80" s="11"/>
      <c r="B80" s="6"/>
      <c r="C80" s="11"/>
      <c r="D80" s="11"/>
      <c r="E80" s="8" t="str">
        <f aca="false">IF($A80="","",SUMIFS($C:$C,$A:$A,$H80,$B:$B,"&gt;="&amp;INT($B80),$B:$B,"&lt;"&amp;(INT($B80)+1)))</f>
        <v/>
      </c>
      <c r="F80" s="19" t="str">
        <f aca="false">IF($A80="","",IF(ISNA(MATCH($H80,Buffers!$AE:$AE,0)),"Not on Buffers",IF(NOT(ISNUMBER($B80)),"Needs a date",IF(INT($B80)&lt;PlanDate,"Past due",IF(INT($B80)=PlanDate,"Due today",IF(AND(INDEX(Buffers!$L:$L,MATCH($H80,Buffers!$AE:$AE,0))="Planned",$E80&gt;0,INT($B80)&lt;=PlanDate+ROUNDUP(IF(ISNUMBER(SpikeHorizon),SpikeHorizon,INDEX(Buffers!$D:$D,MATCH($H80,Buffers!$AE:$AE,0))),0),$E80&gt;=SpikePct*INDEX(Buffers!$P:$P,MATCH($H80,Buffers!$AE:$AE,0))),"Spike","Not qualified"))))))</f>
        <v/>
      </c>
      <c r="G80" s="8" t="str">
        <f aca="false">IF($A80="","",IF(OR($F80="Past due",$F80="Due today",$F80="Spike"),$C80,0))</f>
        <v/>
      </c>
      <c r="H80" s="8" t="str">
        <f aca="false">IF($A80="","",SUBSTITUTE(SUBSTITUTE(SUBSTITUTE($A80&amp;"","~","~~"),"*","~*"),"?","~?"))</f>
        <v/>
      </c>
    </row>
    <row r="81" customFormat="false" ht="15" hidden="false" customHeight="false" outlineLevel="0" collapsed="false">
      <c r="A81" s="11"/>
      <c r="B81" s="6"/>
      <c r="C81" s="11"/>
      <c r="D81" s="11"/>
      <c r="E81" s="8" t="str">
        <f aca="false">IF($A81="","",SUMIFS($C:$C,$A:$A,$H81,$B:$B,"&gt;="&amp;INT($B81),$B:$B,"&lt;"&amp;(INT($B81)+1)))</f>
        <v/>
      </c>
      <c r="F81" s="19" t="str">
        <f aca="false">IF($A81="","",IF(ISNA(MATCH($H81,Buffers!$AE:$AE,0)),"Not on Buffers",IF(NOT(ISNUMBER($B81)),"Needs a date",IF(INT($B81)&lt;PlanDate,"Past due",IF(INT($B81)=PlanDate,"Due today",IF(AND(INDEX(Buffers!$L:$L,MATCH($H81,Buffers!$AE:$AE,0))="Planned",$E81&gt;0,INT($B81)&lt;=PlanDate+ROUNDUP(IF(ISNUMBER(SpikeHorizon),SpikeHorizon,INDEX(Buffers!$D:$D,MATCH($H81,Buffers!$AE:$AE,0))),0),$E81&gt;=SpikePct*INDEX(Buffers!$P:$P,MATCH($H81,Buffers!$AE:$AE,0))),"Spike","Not qualified"))))))</f>
        <v/>
      </c>
      <c r="G81" s="8" t="str">
        <f aca="false">IF($A81="","",IF(OR($F81="Past due",$F81="Due today",$F81="Spike"),$C81,0))</f>
        <v/>
      </c>
      <c r="H81" s="8" t="str">
        <f aca="false">IF($A81="","",SUBSTITUTE(SUBSTITUTE(SUBSTITUTE($A81&amp;"","~","~~"),"*","~*"),"?","~?"))</f>
        <v/>
      </c>
    </row>
    <row r="82" customFormat="false" ht="15" hidden="false" customHeight="false" outlineLevel="0" collapsed="false">
      <c r="A82" s="11"/>
      <c r="B82" s="6"/>
      <c r="C82" s="11"/>
      <c r="D82" s="11"/>
      <c r="E82" s="8" t="str">
        <f aca="false">IF($A82="","",SUMIFS($C:$C,$A:$A,$H82,$B:$B,"&gt;="&amp;INT($B82),$B:$B,"&lt;"&amp;(INT($B82)+1)))</f>
        <v/>
      </c>
      <c r="F82" s="19" t="str">
        <f aca="false">IF($A82="","",IF(ISNA(MATCH($H82,Buffers!$AE:$AE,0)),"Not on Buffers",IF(NOT(ISNUMBER($B82)),"Needs a date",IF(INT($B82)&lt;PlanDate,"Past due",IF(INT($B82)=PlanDate,"Due today",IF(AND(INDEX(Buffers!$L:$L,MATCH($H82,Buffers!$AE:$AE,0))="Planned",$E82&gt;0,INT($B82)&lt;=PlanDate+ROUNDUP(IF(ISNUMBER(SpikeHorizon),SpikeHorizon,INDEX(Buffers!$D:$D,MATCH($H82,Buffers!$AE:$AE,0))),0),$E82&gt;=SpikePct*INDEX(Buffers!$P:$P,MATCH($H82,Buffers!$AE:$AE,0))),"Spike","Not qualified"))))))</f>
        <v/>
      </c>
      <c r="G82" s="8" t="str">
        <f aca="false">IF($A82="","",IF(OR($F82="Past due",$F82="Due today",$F82="Spike"),$C82,0))</f>
        <v/>
      </c>
      <c r="H82" s="8" t="str">
        <f aca="false">IF($A82="","",SUBSTITUTE(SUBSTITUTE(SUBSTITUTE($A82&amp;"","~","~~"),"*","~*"),"?","~?"))</f>
        <v/>
      </c>
    </row>
    <row r="83" customFormat="false" ht="15" hidden="false" customHeight="false" outlineLevel="0" collapsed="false">
      <c r="A83" s="11"/>
      <c r="B83" s="6"/>
      <c r="C83" s="11"/>
      <c r="D83" s="11"/>
      <c r="E83" s="8" t="str">
        <f aca="false">IF($A83="","",SUMIFS($C:$C,$A:$A,$H83,$B:$B,"&gt;="&amp;INT($B83),$B:$B,"&lt;"&amp;(INT($B83)+1)))</f>
        <v/>
      </c>
      <c r="F83" s="19" t="str">
        <f aca="false">IF($A83="","",IF(ISNA(MATCH($H83,Buffers!$AE:$AE,0)),"Not on Buffers",IF(NOT(ISNUMBER($B83)),"Needs a date",IF(INT($B83)&lt;PlanDate,"Past due",IF(INT($B83)=PlanDate,"Due today",IF(AND(INDEX(Buffers!$L:$L,MATCH($H83,Buffers!$AE:$AE,0))="Planned",$E83&gt;0,INT($B83)&lt;=PlanDate+ROUNDUP(IF(ISNUMBER(SpikeHorizon),SpikeHorizon,INDEX(Buffers!$D:$D,MATCH($H83,Buffers!$AE:$AE,0))),0),$E83&gt;=SpikePct*INDEX(Buffers!$P:$P,MATCH($H83,Buffers!$AE:$AE,0))),"Spike","Not qualified"))))))</f>
        <v/>
      </c>
      <c r="G83" s="8" t="str">
        <f aca="false">IF($A83="","",IF(OR($F83="Past due",$F83="Due today",$F83="Spike"),$C83,0))</f>
        <v/>
      </c>
      <c r="H83" s="8" t="str">
        <f aca="false">IF($A83="","",SUBSTITUTE(SUBSTITUTE(SUBSTITUTE($A83&amp;"","~","~~"),"*","~*"),"?","~?"))</f>
        <v/>
      </c>
    </row>
    <row r="84" customFormat="false" ht="15" hidden="false" customHeight="false" outlineLevel="0" collapsed="false">
      <c r="A84" s="11"/>
      <c r="B84" s="6"/>
      <c r="C84" s="11"/>
      <c r="D84" s="11"/>
      <c r="E84" s="8" t="str">
        <f aca="false">IF($A84="","",SUMIFS($C:$C,$A:$A,$H84,$B:$B,"&gt;="&amp;INT($B84),$B:$B,"&lt;"&amp;(INT($B84)+1)))</f>
        <v/>
      </c>
      <c r="F84" s="19" t="str">
        <f aca="false">IF($A84="","",IF(ISNA(MATCH($H84,Buffers!$AE:$AE,0)),"Not on Buffers",IF(NOT(ISNUMBER($B84)),"Needs a date",IF(INT($B84)&lt;PlanDate,"Past due",IF(INT($B84)=PlanDate,"Due today",IF(AND(INDEX(Buffers!$L:$L,MATCH($H84,Buffers!$AE:$AE,0))="Planned",$E84&gt;0,INT($B84)&lt;=PlanDate+ROUNDUP(IF(ISNUMBER(SpikeHorizon),SpikeHorizon,INDEX(Buffers!$D:$D,MATCH($H84,Buffers!$AE:$AE,0))),0),$E84&gt;=SpikePct*INDEX(Buffers!$P:$P,MATCH($H84,Buffers!$AE:$AE,0))),"Spike","Not qualified"))))))</f>
        <v/>
      </c>
      <c r="G84" s="8" t="str">
        <f aca="false">IF($A84="","",IF(OR($F84="Past due",$F84="Due today",$F84="Spike"),$C84,0))</f>
        <v/>
      </c>
      <c r="H84" s="8" t="str">
        <f aca="false">IF($A84="","",SUBSTITUTE(SUBSTITUTE(SUBSTITUTE($A84&amp;"","~","~~"),"*","~*"),"?","~?"))</f>
        <v/>
      </c>
    </row>
    <row r="85" customFormat="false" ht="15" hidden="false" customHeight="false" outlineLevel="0" collapsed="false">
      <c r="A85" s="11"/>
      <c r="B85" s="6"/>
      <c r="C85" s="11"/>
      <c r="D85" s="11"/>
      <c r="E85" s="8" t="str">
        <f aca="false">IF($A85="","",SUMIFS($C:$C,$A:$A,$H85,$B:$B,"&gt;="&amp;INT($B85),$B:$B,"&lt;"&amp;(INT($B85)+1)))</f>
        <v/>
      </c>
      <c r="F85" s="19" t="str">
        <f aca="false">IF($A85="","",IF(ISNA(MATCH($H85,Buffers!$AE:$AE,0)),"Not on Buffers",IF(NOT(ISNUMBER($B85)),"Needs a date",IF(INT($B85)&lt;PlanDate,"Past due",IF(INT($B85)=PlanDate,"Due today",IF(AND(INDEX(Buffers!$L:$L,MATCH($H85,Buffers!$AE:$AE,0))="Planned",$E85&gt;0,INT($B85)&lt;=PlanDate+ROUNDUP(IF(ISNUMBER(SpikeHorizon),SpikeHorizon,INDEX(Buffers!$D:$D,MATCH($H85,Buffers!$AE:$AE,0))),0),$E85&gt;=SpikePct*INDEX(Buffers!$P:$P,MATCH($H85,Buffers!$AE:$AE,0))),"Spike","Not qualified"))))))</f>
        <v/>
      </c>
      <c r="G85" s="8" t="str">
        <f aca="false">IF($A85="","",IF(OR($F85="Past due",$F85="Due today",$F85="Spike"),$C85,0))</f>
        <v/>
      </c>
      <c r="H85" s="8" t="str">
        <f aca="false">IF($A85="","",SUBSTITUTE(SUBSTITUTE(SUBSTITUTE($A85&amp;"","~","~~"),"*","~*"),"?","~?"))</f>
        <v/>
      </c>
    </row>
    <row r="86" customFormat="false" ht="15" hidden="false" customHeight="false" outlineLevel="0" collapsed="false">
      <c r="A86" s="11"/>
      <c r="B86" s="6"/>
      <c r="C86" s="11"/>
      <c r="D86" s="11"/>
      <c r="E86" s="8" t="str">
        <f aca="false">IF($A86="","",SUMIFS($C:$C,$A:$A,$H86,$B:$B,"&gt;="&amp;INT($B86),$B:$B,"&lt;"&amp;(INT($B86)+1)))</f>
        <v/>
      </c>
      <c r="F86" s="19" t="str">
        <f aca="false">IF($A86="","",IF(ISNA(MATCH($H86,Buffers!$AE:$AE,0)),"Not on Buffers",IF(NOT(ISNUMBER($B86)),"Needs a date",IF(INT($B86)&lt;PlanDate,"Past due",IF(INT($B86)=PlanDate,"Due today",IF(AND(INDEX(Buffers!$L:$L,MATCH($H86,Buffers!$AE:$AE,0))="Planned",$E86&gt;0,INT($B86)&lt;=PlanDate+ROUNDUP(IF(ISNUMBER(SpikeHorizon),SpikeHorizon,INDEX(Buffers!$D:$D,MATCH($H86,Buffers!$AE:$AE,0))),0),$E86&gt;=SpikePct*INDEX(Buffers!$P:$P,MATCH($H86,Buffers!$AE:$AE,0))),"Spike","Not qualified"))))))</f>
        <v/>
      </c>
      <c r="G86" s="8" t="str">
        <f aca="false">IF($A86="","",IF(OR($F86="Past due",$F86="Due today",$F86="Spike"),$C86,0))</f>
        <v/>
      </c>
      <c r="H86" s="8" t="str">
        <f aca="false">IF($A86="","",SUBSTITUTE(SUBSTITUTE(SUBSTITUTE($A86&amp;"","~","~~"),"*","~*"),"?","~?"))</f>
        <v/>
      </c>
    </row>
    <row r="87" customFormat="false" ht="15" hidden="false" customHeight="false" outlineLevel="0" collapsed="false">
      <c r="A87" s="11"/>
      <c r="B87" s="6"/>
      <c r="C87" s="11"/>
      <c r="D87" s="11"/>
      <c r="E87" s="8" t="str">
        <f aca="false">IF($A87="","",SUMIFS($C:$C,$A:$A,$H87,$B:$B,"&gt;="&amp;INT($B87),$B:$B,"&lt;"&amp;(INT($B87)+1)))</f>
        <v/>
      </c>
      <c r="F87" s="19" t="str">
        <f aca="false">IF($A87="","",IF(ISNA(MATCH($H87,Buffers!$AE:$AE,0)),"Not on Buffers",IF(NOT(ISNUMBER($B87)),"Needs a date",IF(INT($B87)&lt;PlanDate,"Past due",IF(INT($B87)=PlanDate,"Due today",IF(AND(INDEX(Buffers!$L:$L,MATCH($H87,Buffers!$AE:$AE,0))="Planned",$E87&gt;0,INT($B87)&lt;=PlanDate+ROUNDUP(IF(ISNUMBER(SpikeHorizon),SpikeHorizon,INDEX(Buffers!$D:$D,MATCH($H87,Buffers!$AE:$AE,0))),0),$E87&gt;=SpikePct*INDEX(Buffers!$P:$P,MATCH($H87,Buffers!$AE:$AE,0))),"Spike","Not qualified"))))))</f>
        <v/>
      </c>
      <c r="G87" s="8" t="str">
        <f aca="false">IF($A87="","",IF(OR($F87="Past due",$F87="Due today",$F87="Spike"),$C87,0))</f>
        <v/>
      </c>
      <c r="H87" s="8" t="str">
        <f aca="false">IF($A87="","",SUBSTITUTE(SUBSTITUTE(SUBSTITUTE($A87&amp;"","~","~~"),"*","~*"),"?","~?"))</f>
        <v/>
      </c>
    </row>
    <row r="88" customFormat="false" ht="15" hidden="false" customHeight="false" outlineLevel="0" collapsed="false">
      <c r="A88" s="11"/>
      <c r="B88" s="6"/>
      <c r="C88" s="11"/>
      <c r="D88" s="11"/>
      <c r="E88" s="8" t="str">
        <f aca="false">IF($A88="","",SUMIFS($C:$C,$A:$A,$H88,$B:$B,"&gt;="&amp;INT($B88),$B:$B,"&lt;"&amp;(INT($B88)+1)))</f>
        <v/>
      </c>
      <c r="F88" s="19" t="str">
        <f aca="false">IF($A88="","",IF(ISNA(MATCH($H88,Buffers!$AE:$AE,0)),"Not on Buffers",IF(NOT(ISNUMBER($B88)),"Needs a date",IF(INT($B88)&lt;PlanDate,"Past due",IF(INT($B88)=PlanDate,"Due today",IF(AND(INDEX(Buffers!$L:$L,MATCH($H88,Buffers!$AE:$AE,0))="Planned",$E88&gt;0,INT($B88)&lt;=PlanDate+ROUNDUP(IF(ISNUMBER(SpikeHorizon),SpikeHorizon,INDEX(Buffers!$D:$D,MATCH($H88,Buffers!$AE:$AE,0))),0),$E88&gt;=SpikePct*INDEX(Buffers!$P:$P,MATCH($H88,Buffers!$AE:$AE,0))),"Spike","Not qualified"))))))</f>
        <v/>
      </c>
      <c r="G88" s="8" t="str">
        <f aca="false">IF($A88="","",IF(OR($F88="Past due",$F88="Due today",$F88="Spike"),$C88,0))</f>
        <v/>
      </c>
      <c r="H88" s="8" t="str">
        <f aca="false">IF($A88="","",SUBSTITUTE(SUBSTITUTE(SUBSTITUTE($A88&amp;"","~","~~"),"*","~*"),"?","~?"))</f>
        <v/>
      </c>
    </row>
    <row r="89" customFormat="false" ht="15" hidden="false" customHeight="false" outlineLevel="0" collapsed="false">
      <c r="A89" s="11"/>
      <c r="B89" s="6"/>
      <c r="C89" s="11"/>
      <c r="D89" s="11"/>
      <c r="E89" s="8" t="str">
        <f aca="false">IF($A89="","",SUMIFS($C:$C,$A:$A,$H89,$B:$B,"&gt;="&amp;INT($B89),$B:$B,"&lt;"&amp;(INT($B89)+1)))</f>
        <v/>
      </c>
      <c r="F89" s="19" t="str">
        <f aca="false">IF($A89="","",IF(ISNA(MATCH($H89,Buffers!$AE:$AE,0)),"Not on Buffers",IF(NOT(ISNUMBER($B89)),"Needs a date",IF(INT($B89)&lt;PlanDate,"Past due",IF(INT($B89)=PlanDate,"Due today",IF(AND(INDEX(Buffers!$L:$L,MATCH($H89,Buffers!$AE:$AE,0))="Planned",$E89&gt;0,INT($B89)&lt;=PlanDate+ROUNDUP(IF(ISNUMBER(SpikeHorizon),SpikeHorizon,INDEX(Buffers!$D:$D,MATCH($H89,Buffers!$AE:$AE,0))),0),$E89&gt;=SpikePct*INDEX(Buffers!$P:$P,MATCH($H89,Buffers!$AE:$AE,0))),"Spike","Not qualified"))))))</f>
        <v/>
      </c>
      <c r="G89" s="8" t="str">
        <f aca="false">IF($A89="","",IF(OR($F89="Past due",$F89="Due today",$F89="Spike"),$C89,0))</f>
        <v/>
      </c>
      <c r="H89" s="8" t="str">
        <f aca="false">IF($A89="","",SUBSTITUTE(SUBSTITUTE(SUBSTITUTE($A89&amp;"","~","~~"),"*","~*"),"?","~?"))</f>
        <v/>
      </c>
    </row>
    <row r="90" customFormat="false" ht="15" hidden="false" customHeight="false" outlineLevel="0" collapsed="false">
      <c r="A90" s="11"/>
      <c r="B90" s="6"/>
      <c r="C90" s="11"/>
      <c r="D90" s="11"/>
      <c r="E90" s="8" t="str">
        <f aca="false">IF($A90="","",SUMIFS($C:$C,$A:$A,$H90,$B:$B,"&gt;="&amp;INT($B90),$B:$B,"&lt;"&amp;(INT($B90)+1)))</f>
        <v/>
      </c>
      <c r="F90" s="19" t="str">
        <f aca="false">IF($A90="","",IF(ISNA(MATCH($H90,Buffers!$AE:$AE,0)),"Not on Buffers",IF(NOT(ISNUMBER($B90)),"Needs a date",IF(INT($B90)&lt;PlanDate,"Past due",IF(INT($B90)=PlanDate,"Due today",IF(AND(INDEX(Buffers!$L:$L,MATCH($H90,Buffers!$AE:$AE,0))="Planned",$E90&gt;0,INT($B90)&lt;=PlanDate+ROUNDUP(IF(ISNUMBER(SpikeHorizon),SpikeHorizon,INDEX(Buffers!$D:$D,MATCH($H90,Buffers!$AE:$AE,0))),0),$E90&gt;=SpikePct*INDEX(Buffers!$P:$P,MATCH($H90,Buffers!$AE:$AE,0))),"Spike","Not qualified"))))))</f>
        <v/>
      </c>
      <c r="G90" s="8" t="str">
        <f aca="false">IF($A90="","",IF(OR($F90="Past due",$F90="Due today",$F90="Spike"),$C90,0))</f>
        <v/>
      </c>
      <c r="H90" s="8" t="str">
        <f aca="false">IF($A90="","",SUBSTITUTE(SUBSTITUTE(SUBSTITUTE($A90&amp;"","~","~~"),"*","~*"),"?","~?"))</f>
        <v/>
      </c>
    </row>
    <row r="91" customFormat="false" ht="15" hidden="false" customHeight="false" outlineLevel="0" collapsed="false">
      <c r="A91" s="11"/>
      <c r="B91" s="6"/>
      <c r="C91" s="11"/>
      <c r="D91" s="11"/>
      <c r="E91" s="8" t="str">
        <f aca="false">IF($A91="","",SUMIFS($C:$C,$A:$A,$H91,$B:$B,"&gt;="&amp;INT($B91),$B:$B,"&lt;"&amp;(INT($B91)+1)))</f>
        <v/>
      </c>
      <c r="F91" s="19" t="str">
        <f aca="false">IF($A91="","",IF(ISNA(MATCH($H91,Buffers!$AE:$AE,0)),"Not on Buffers",IF(NOT(ISNUMBER($B91)),"Needs a date",IF(INT($B91)&lt;PlanDate,"Past due",IF(INT($B91)=PlanDate,"Due today",IF(AND(INDEX(Buffers!$L:$L,MATCH($H91,Buffers!$AE:$AE,0))="Planned",$E91&gt;0,INT($B91)&lt;=PlanDate+ROUNDUP(IF(ISNUMBER(SpikeHorizon),SpikeHorizon,INDEX(Buffers!$D:$D,MATCH($H91,Buffers!$AE:$AE,0))),0),$E91&gt;=SpikePct*INDEX(Buffers!$P:$P,MATCH($H91,Buffers!$AE:$AE,0))),"Spike","Not qualified"))))))</f>
        <v/>
      </c>
      <c r="G91" s="8" t="str">
        <f aca="false">IF($A91="","",IF(OR($F91="Past due",$F91="Due today",$F91="Spike"),$C91,0))</f>
        <v/>
      </c>
      <c r="H91" s="8" t="str">
        <f aca="false">IF($A91="","",SUBSTITUTE(SUBSTITUTE(SUBSTITUTE($A91&amp;"","~","~~"),"*","~*"),"?","~?"))</f>
        <v/>
      </c>
    </row>
    <row r="92" customFormat="false" ht="15" hidden="false" customHeight="false" outlineLevel="0" collapsed="false">
      <c r="A92" s="11"/>
      <c r="B92" s="6"/>
      <c r="C92" s="11"/>
      <c r="D92" s="11"/>
      <c r="E92" s="8" t="str">
        <f aca="false">IF($A92="","",SUMIFS($C:$C,$A:$A,$H92,$B:$B,"&gt;="&amp;INT($B92),$B:$B,"&lt;"&amp;(INT($B92)+1)))</f>
        <v/>
      </c>
      <c r="F92" s="19" t="str">
        <f aca="false">IF($A92="","",IF(ISNA(MATCH($H92,Buffers!$AE:$AE,0)),"Not on Buffers",IF(NOT(ISNUMBER($B92)),"Needs a date",IF(INT($B92)&lt;PlanDate,"Past due",IF(INT($B92)=PlanDate,"Due today",IF(AND(INDEX(Buffers!$L:$L,MATCH($H92,Buffers!$AE:$AE,0))="Planned",$E92&gt;0,INT($B92)&lt;=PlanDate+ROUNDUP(IF(ISNUMBER(SpikeHorizon),SpikeHorizon,INDEX(Buffers!$D:$D,MATCH($H92,Buffers!$AE:$AE,0))),0),$E92&gt;=SpikePct*INDEX(Buffers!$P:$P,MATCH($H92,Buffers!$AE:$AE,0))),"Spike","Not qualified"))))))</f>
        <v/>
      </c>
      <c r="G92" s="8" t="str">
        <f aca="false">IF($A92="","",IF(OR($F92="Past due",$F92="Due today",$F92="Spike"),$C92,0))</f>
        <v/>
      </c>
      <c r="H92" s="8" t="str">
        <f aca="false">IF($A92="","",SUBSTITUTE(SUBSTITUTE(SUBSTITUTE($A92&amp;"","~","~~"),"*","~*"),"?","~?"))</f>
        <v/>
      </c>
    </row>
    <row r="93" customFormat="false" ht="15" hidden="false" customHeight="false" outlineLevel="0" collapsed="false">
      <c r="A93" s="11"/>
      <c r="B93" s="6"/>
      <c r="C93" s="11"/>
      <c r="D93" s="11"/>
      <c r="E93" s="8" t="str">
        <f aca="false">IF($A93="","",SUMIFS($C:$C,$A:$A,$H93,$B:$B,"&gt;="&amp;INT($B93),$B:$B,"&lt;"&amp;(INT($B93)+1)))</f>
        <v/>
      </c>
      <c r="F93" s="19" t="str">
        <f aca="false">IF($A93="","",IF(ISNA(MATCH($H93,Buffers!$AE:$AE,0)),"Not on Buffers",IF(NOT(ISNUMBER($B93)),"Needs a date",IF(INT($B93)&lt;PlanDate,"Past due",IF(INT($B93)=PlanDate,"Due today",IF(AND(INDEX(Buffers!$L:$L,MATCH($H93,Buffers!$AE:$AE,0))="Planned",$E93&gt;0,INT($B93)&lt;=PlanDate+ROUNDUP(IF(ISNUMBER(SpikeHorizon),SpikeHorizon,INDEX(Buffers!$D:$D,MATCH($H93,Buffers!$AE:$AE,0))),0),$E93&gt;=SpikePct*INDEX(Buffers!$P:$P,MATCH($H93,Buffers!$AE:$AE,0))),"Spike","Not qualified"))))))</f>
        <v/>
      </c>
      <c r="G93" s="8" t="str">
        <f aca="false">IF($A93="","",IF(OR($F93="Past due",$F93="Due today",$F93="Spike"),$C93,0))</f>
        <v/>
      </c>
      <c r="H93" s="8" t="str">
        <f aca="false">IF($A93="","",SUBSTITUTE(SUBSTITUTE(SUBSTITUTE($A93&amp;"","~","~~"),"*","~*"),"?","~?"))</f>
        <v/>
      </c>
    </row>
    <row r="94" customFormat="false" ht="15" hidden="false" customHeight="false" outlineLevel="0" collapsed="false">
      <c r="A94" s="11"/>
      <c r="B94" s="6"/>
      <c r="C94" s="11"/>
      <c r="D94" s="11"/>
      <c r="E94" s="8" t="str">
        <f aca="false">IF($A94="","",SUMIFS($C:$C,$A:$A,$H94,$B:$B,"&gt;="&amp;INT($B94),$B:$B,"&lt;"&amp;(INT($B94)+1)))</f>
        <v/>
      </c>
      <c r="F94" s="19" t="str">
        <f aca="false">IF($A94="","",IF(ISNA(MATCH($H94,Buffers!$AE:$AE,0)),"Not on Buffers",IF(NOT(ISNUMBER($B94)),"Needs a date",IF(INT($B94)&lt;PlanDate,"Past due",IF(INT($B94)=PlanDate,"Due today",IF(AND(INDEX(Buffers!$L:$L,MATCH($H94,Buffers!$AE:$AE,0))="Planned",$E94&gt;0,INT($B94)&lt;=PlanDate+ROUNDUP(IF(ISNUMBER(SpikeHorizon),SpikeHorizon,INDEX(Buffers!$D:$D,MATCH($H94,Buffers!$AE:$AE,0))),0),$E94&gt;=SpikePct*INDEX(Buffers!$P:$P,MATCH($H94,Buffers!$AE:$AE,0))),"Spike","Not qualified"))))))</f>
        <v/>
      </c>
      <c r="G94" s="8" t="str">
        <f aca="false">IF($A94="","",IF(OR($F94="Past due",$F94="Due today",$F94="Spike"),$C94,0))</f>
        <v/>
      </c>
      <c r="H94" s="8" t="str">
        <f aca="false">IF($A94="","",SUBSTITUTE(SUBSTITUTE(SUBSTITUTE($A94&amp;"","~","~~"),"*","~*"),"?","~?"))</f>
        <v/>
      </c>
    </row>
    <row r="95" customFormat="false" ht="15" hidden="false" customHeight="false" outlineLevel="0" collapsed="false">
      <c r="A95" s="11"/>
      <c r="B95" s="6"/>
      <c r="C95" s="11"/>
      <c r="D95" s="11"/>
      <c r="E95" s="8" t="str">
        <f aca="false">IF($A95="","",SUMIFS($C:$C,$A:$A,$H95,$B:$B,"&gt;="&amp;INT($B95),$B:$B,"&lt;"&amp;(INT($B95)+1)))</f>
        <v/>
      </c>
      <c r="F95" s="19" t="str">
        <f aca="false">IF($A95="","",IF(ISNA(MATCH($H95,Buffers!$AE:$AE,0)),"Not on Buffers",IF(NOT(ISNUMBER($B95)),"Needs a date",IF(INT($B95)&lt;PlanDate,"Past due",IF(INT($B95)=PlanDate,"Due today",IF(AND(INDEX(Buffers!$L:$L,MATCH($H95,Buffers!$AE:$AE,0))="Planned",$E95&gt;0,INT($B95)&lt;=PlanDate+ROUNDUP(IF(ISNUMBER(SpikeHorizon),SpikeHorizon,INDEX(Buffers!$D:$D,MATCH($H95,Buffers!$AE:$AE,0))),0),$E95&gt;=SpikePct*INDEX(Buffers!$P:$P,MATCH($H95,Buffers!$AE:$AE,0))),"Spike","Not qualified"))))))</f>
        <v/>
      </c>
      <c r="G95" s="8" t="str">
        <f aca="false">IF($A95="","",IF(OR($F95="Past due",$F95="Due today",$F95="Spike"),$C95,0))</f>
        <v/>
      </c>
      <c r="H95" s="8" t="str">
        <f aca="false">IF($A95="","",SUBSTITUTE(SUBSTITUTE(SUBSTITUTE($A95&amp;"","~","~~"),"*","~*"),"?","~?"))</f>
        <v/>
      </c>
    </row>
    <row r="96" customFormat="false" ht="15" hidden="false" customHeight="false" outlineLevel="0" collapsed="false">
      <c r="A96" s="11"/>
      <c r="B96" s="6"/>
      <c r="C96" s="11"/>
      <c r="D96" s="11"/>
      <c r="E96" s="8" t="str">
        <f aca="false">IF($A96="","",SUMIFS($C:$C,$A:$A,$H96,$B:$B,"&gt;="&amp;INT($B96),$B:$B,"&lt;"&amp;(INT($B96)+1)))</f>
        <v/>
      </c>
      <c r="F96" s="19" t="str">
        <f aca="false">IF($A96="","",IF(ISNA(MATCH($H96,Buffers!$AE:$AE,0)),"Not on Buffers",IF(NOT(ISNUMBER($B96)),"Needs a date",IF(INT($B96)&lt;PlanDate,"Past due",IF(INT($B96)=PlanDate,"Due today",IF(AND(INDEX(Buffers!$L:$L,MATCH($H96,Buffers!$AE:$AE,0))="Planned",$E96&gt;0,INT($B96)&lt;=PlanDate+ROUNDUP(IF(ISNUMBER(SpikeHorizon),SpikeHorizon,INDEX(Buffers!$D:$D,MATCH($H96,Buffers!$AE:$AE,0))),0),$E96&gt;=SpikePct*INDEX(Buffers!$P:$P,MATCH($H96,Buffers!$AE:$AE,0))),"Spike","Not qualified"))))))</f>
        <v/>
      </c>
      <c r="G96" s="8" t="str">
        <f aca="false">IF($A96="","",IF(OR($F96="Past due",$F96="Due today",$F96="Spike"),$C96,0))</f>
        <v/>
      </c>
      <c r="H96" s="8" t="str">
        <f aca="false">IF($A96="","",SUBSTITUTE(SUBSTITUTE(SUBSTITUTE($A96&amp;"","~","~~"),"*","~*"),"?","~?"))</f>
        <v/>
      </c>
    </row>
    <row r="97" customFormat="false" ht="15" hidden="false" customHeight="false" outlineLevel="0" collapsed="false">
      <c r="A97" s="11"/>
      <c r="B97" s="6"/>
      <c r="C97" s="11"/>
      <c r="D97" s="11"/>
      <c r="E97" s="8" t="str">
        <f aca="false">IF($A97="","",SUMIFS($C:$C,$A:$A,$H97,$B:$B,"&gt;="&amp;INT($B97),$B:$B,"&lt;"&amp;(INT($B97)+1)))</f>
        <v/>
      </c>
      <c r="F97" s="19" t="str">
        <f aca="false">IF($A97="","",IF(ISNA(MATCH($H97,Buffers!$AE:$AE,0)),"Not on Buffers",IF(NOT(ISNUMBER($B97)),"Needs a date",IF(INT($B97)&lt;PlanDate,"Past due",IF(INT($B97)=PlanDate,"Due today",IF(AND(INDEX(Buffers!$L:$L,MATCH($H97,Buffers!$AE:$AE,0))="Planned",$E97&gt;0,INT($B97)&lt;=PlanDate+ROUNDUP(IF(ISNUMBER(SpikeHorizon),SpikeHorizon,INDEX(Buffers!$D:$D,MATCH($H97,Buffers!$AE:$AE,0))),0),$E97&gt;=SpikePct*INDEX(Buffers!$P:$P,MATCH($H97,Buffers!$AE:$AE,0))),"Spike","Not qualified"))))))</f>
        <v/>
      </c>
      <c r="G97" s="8" t="str">
        <f aca="false">IF($A97="","",IF(OR($F97="Past due",$F97="Due today",$F97="Spike"),$C97,0))</f>
        <v/>
      </c>
      <c r="H97" s="8" t="str">
        <f aca="false">IF($A97="","",SUBSTITUTE(SUBSTITUTE(SUBSTITUTE($A97&amp;"","~","~~"),"*","~*"),"?","~?"))</f>
        <v/>
      </c>
    </row>
    <row r="98" customFormat="false" ht="15" hidden="false" customHeight="false" outlineLevel="0" collapsed="false">
      <c r="A98" s="11"/>
      <c r="B98" s="6"/>
      <c r="C98" s="11"/>
      <c r="D98" s="11"/>
      <c r="E98" s="8" t="str">
        <f aca="false">IF($A98="","",SUMIFS($C:$C,$A:$A,$H98,$B:$B,"&gt;="&amp;INT($B98),$B:$B,"&lt;"&amp;(INT($B98)+1)))</f>
        <v/>
      </c>
      <c r="F98" s="19" t="str">
        <f aca="false">IF($A98="","",IF(ISNA(MATCH($H98,Buffers!$AE:$AE,0)),"Not on Buffers",IF(NOT(ISNUMBER($B98)),"Needs a date",IF(INT($B98)&lt;PlanDate,"Past due",IF(INT($B98)=PlanDate,"Due today",IF(AND(INDEX(Buffers!$L:$L,MATCH($H98,Buffers!$AE:$AE,0))="Planned",$E98&gt;0,INT($B98)&lt;=PlanDate+ROUNDUP(IF(ISNUMBER(SpikeHorizon),SpikeHorizon,INDEX(Buffers!$D:$D,MATCH($H98,Buffers!$AE:$AE,0))),0),$E98&gt;=SpikePct*INDEX(Buffers!$P:$P,MATCH($H98,Buffers!$AE:$AE,0))),"Spike","Not qualified"))))))</f>
        <v/>
      </c>
      <c r="G98" s="8" t="str">
        <f aca="false">IF($A98="","",IF(OR($F98="Past due",$F98="Due today",$F98="Spike"),$C98,0))</f>
        <v/>
      </c>
      <c r="H98" s="8" t="str">
        <f aca="false">IF($A98="","",SUBSTITUTE(SUBSTITUTE(SUBSTITUTE($A98&amp;"","~","~~"),"*","~*"),"?","~?"))</f>
        <v/>
      </c>
    </row>
    <row r="99" customFormat="false" ht="15" hidden="false" customHeight="false" outlineLevel="0" collapsed="false">
      <c r="A99" s="11"/>
      <c r="B99" s="6"/>
      <c r="C99" s="11"/>
      <c r="D99" s="11"/>
      <c r="E99" s="8" t="str">
        <f aca="false">IF($A99="","",SUMIFS($C:$C,$A:$A,$H99,$B:$B,"&gt;="&amp;INT($B99),$B:$B,"&lt;"&amp;(INT($B99)+1)))</f>
        <v/>
      </c>
      <c r="F99" s="19" t="str">
        <f aca="false">IF($A99="","",IF(ISNA(MATCH($H99,Buffers!$AE:$AE,0)),"Not on Buffers",IF(NOT(ISNUMBER($B99)),"Needs a date",IF(INT($B99)&lt;PlanDate,"Past due",IF(INT($B99)=PlanDate,"Due today",IF(AND(INDEX(Buffers!$L:$L,MATCH($H99,Buffers!$AE:$AE,0))="Planned",$E99&gt;0,INT($B99)&lt;=PlanDate+ROUNDUP(IF(ISNUMBER(SpikeHorizon),SpikeHorizon,INDEX(Buffers!$D:$D,MATCH($H99,Buffers!$AE:$AE,0))),0),$E99&gt;=SpikePct*INDEX(Buffers!$P:$P,MATCH($H99,Buffers!$AE:$AE,0))),"Spike","Not qualified"))))))</f>
        <v/>
      </c>
      <c r="G99" s="8" t="str">
        <f aca="false">IF($A99="","",IF(OR($F99="Past due",$F99="Due today",$F99="Spike"),$C99,0))</f>
        <v/>
      </c>
      <c r="H99" s="8" t="str">
        <f aca="false">IF($A99="","",SUBSTITUTE(SUBSTITUTE(SUBSTITUTE($A99&amp;"","~","~~"),"*","~*"),"?","~?"))</f>
        <v/>
      </c>
    </row>
    <row r="100" customFormat="false" ht="15" hidden="false" customHeight="false" outlineLevel="0" collapsed="false">
      <c r="A100" s="11"/>
      <c r="B100" s="6"/>
      <c r="C100" s="11"/>
      <c r="D100" s="11"/>
      <c r="E100" s="8" t="str">
        <f aca="false">IF($A100="","",SUMIFS($C:$C,$A:$A,$H100,$B:$B,"&gt;="&amp;INT($B100),$B:$B,"&lt;"&amp;(INT($B100)+1)))</f>
        <v/>
      </c>
      <c r="F100" s="19" t="str">
        <f aca="false">IF($A100="","",IF(ISNA(MATCH($H100,Buffers!$AE:$AE,0)),"Not on Buffers",IF(NOT(ISNUMBER($B100)),"Needs a date",IF(INT($B100)&lt;PlanDate,"Past due",IF(INT($B100)=PlanDate,"Due today",IF(AND(INDEX(Buffers!$L:$L,MATCH($H100,Buffers!$AE:$AE,0))="Planned",$E100&gt;0,INT($B100)&lt;=PlanDate+ROUNDUP(IF(ISNUMBER(SpikeHorizon),SpikeHorizon,INDEX(Buffers!$D:$D,MATCH($H100,Buffers!$AE:$AE,0))),0),$E100&gt;=SpikePct*INDEX(Buffers!$P:$P,MATCH($H100,Buffers!$AE:$AE,0))),"Spike","Not qualified"))))))</f>
        <v/>
      </c>
      <c r="G100" s="8" t="str">
        <f aca="false">IF($A100="","",IF(OR($F100="Past due",$F100="Due today",$F100="Spike"),$C100,0))</f>
        <v/>
      </c>
      <c r="H100" s="8" t="str">
        <f aca="false">IF($A100="","",SUBSTITUTE(SUBSTITUTE(SUBSTITUTE($A100&amp;"","~","~~"),"*","~*"),"?","~?"))</f>
        <v/>
      </c>
    </row>
    <row r="101" customFormat="false" ht="15" hidden="false" customHeight="false" outlineLevel="0" collapsed="false">
      <c r="A101" s="11"/>
      <c r="B101" s="6"/>
      <c r="C101" s="11"/>
      <c r="D101" s="11"/>
      <c r="E101" s="8" t="str">
        <f aca="false">IF($A101="","",SUMIFS($C:$C,$A:$A,$H101,$B:$B,"&gt;="&amp;INT($B101),$B:$B,"&lt;"&amp;(INT($B101)+1)))</f>
        <v/>
      </c>
      <c r="F101" s="19" t="str">
        <f aca="false">IF($A101="","",IF(ISNA(MATCH($H101,Buffers!$AE:$AE,0)),"Not on Buffers",IF(NOT(ISNUMBER($B101)),"Needs a date",IF(INT($B101)&lt;PlanDate,"Past due",IF(INT($B101)=PlanDate,"Due today",IF(AND(INDEX(Buffers!$L:$L,MATCH($H101,Buffers!$AE:$AE,0))="Planned",$E101&gt;0,INT($B101)&lt;=PlanDate+ROUNDUP(IF(ISNUMBER(SpikeHorizon),SpikeHorizon,INDEX(Buffers!$D:$D,MATCH($H101,Buffers!$AE:$AE,0))),0),$E101&gt;=SpikePct*INDEX(Buffers!$P:$P,MATCH($H101,Buffers!$AE:$AE,0))),"Spike","Not qualified"))))))</f>
        <v/>
      </c>
      <c r="G101" s="8" t="str">
        <f aca="false">IF($A101="","",IF(OR($F101="Past due",$F101="Due today",$F101="Spike"),$C101,0))</f>
        <v/>
      </c>
      <c r="H101" s="8" t="str">
        <f aca="false">IF($A101="","",SUBSTITUTE(SUBSTITUTE(SUBSTITUTE($A101&amp;"","~","~~"),"*","~*"),"?","~?"))</f>
        <v/>
      </c>
    </row>
    <row r="102" customFormat="false" ht="15" hidden="false" customHeight="false" outlineLevel="0" collapsed="false">
      <c r="A102" s="11"/>
      <c r="B102" s="6"/>
      <c r="C102" s="11"/>
      <c r="D102" s="11"/>
      <c r="E102" s="8" t="str">
        <f aca="false">IF($A102="","",SUMIFS($C:$C,$A:$A,$H102,$B:$B,"&gt;="&amp;INT($B102),$B:$B,"&lt;"&amp;(INT($B102)+1)))</f>
        <v/>
      </c>
      <c r="F102" s="19" t="str">
        <f aca="false">IF($A102="","",IF(ISNA(MATCH($H102,Buffers!$AE:$AE,0)),"Not on Buffers",IF(NOT(ISNUMBER($B102)),"Needs a date",IF(INT($B102)&lt;PlanDate,"Past due",IF(INT($B102)=PlanDate,"Due today",IF(AND(INDEX(Buffers!$L:$L,MATCH($H102,Buffers!$AE:$AE,0))="Planned",$E102&gt;0,INT($B102)&lt;=PlanDate+ROUNDUP(IF(ISNUMBER(SpikeHorizon),SpikeHorizon,INDEX(Buffers!$D:$D,MATCH($H102,Buffers!$AE:$AE,0))),0),$E102&gt;=SpikePct*INDEX(Buffers!$P:$P,MATCH($H102,Buffers!$AE:$AE,0))),"Spike","Not qualified"))))))</f>
        <v/>
      </c>
      <c r="G102" s="8" t="str">
        <f aca="false">IF($A102="","",IF(OR($F102="Past due",$F102="Due today",$F102="Spike"),$C102,0))</f>
        <v/>
      </c>
      <c r="H102" s="8" t="str">
        <f aca="false">IF($A102="","",SUBSTITUTE(SUBSTITUTE(SUBSTITUTE($A102&amp;"","~","~~"),"*","~*"),"?","~?"))</f>
        <v/>
      </c>
    </row>
    <row r="103" customFormat="false" ht="15" hidden="false" customHeight="false" outlineLevel="0" collapsed="false">
      <c r="A103" s="11"/>
      <c r="B103" s="6"/>
      <c r="C103" s="11"/>
      <c r="D103" s="11"/>
      <c r="E103" s="8" t="str">
        <f aca="false">IF($A103="","",SUMIFS($C:$C,$A:$A,$H103,$B:$B,"&gt;="&amp;INT($B103),$B:$B,"&lt;"&amp;(INT($B103)+1)))</f>
        <v/>
      </c>
      <c r="F103" s="19" t="str">
        <f aca="false">IF($A103="","",IF(ISNA(MATCH($H103,Buffers!$AE:$AE,0)),"Not on Buffers",IF(NOT(ISNUMBER($B103)),"Needs a date",IF(INT($B103)&lt;PlanDate,"Past due",IF(INT($B103)=PlanDate,"Due today",IF(AND(INDEX(Buffers!$L:$L,MATCH($H103,Buffers!$AE:$AE,0))="Planned",$E103&gt;0,INT($B103)&lt;=PlanDate+ROUNDUP(IF(ISNUMBER(SpikeHorizon),SpikeHorizon,INDEX(Buffers!$D:$D,MATCH($H103,Buffers!$AE:$AE,0))),0),$E103&gt;=SpikePct*INDEX(Buffers!$P:$P,MATCH($H103,Buffers!$AE:$AE,0))),"Spike","Not qualified"))))))</f>
        <v/>
      </c>
      <c r="G103" s="8" t="str">
        <f aca="false">IF($A103="","",IF(OR($F103="Past due",$F103="Due today",$F103="Spike"),$C103,0))</f>
        <v/>
      </c>
      <c r="H103" s="8" t="str">
        <f aca="false">IF($A103="","",SUBSTITUTE(SUBSTITUTE(SUBSTITUTE($A103&amp;"","~","~~"),"*","~*"),"?","~?"))</f>
        <v/>
      </c>
    </row>
    <row r="104" customFormat="false" ht="15" hidden="false" customHeight="false" outlineLevel="0" collapsed="false">
      <c r="A104" s="11"/>
      <c r="B104" s="6"/>
      <c r="C104" s="11"/>
      <c r="D104" s="11"/>
      <c r="E104" s="8" t="str">
        <f aca="false">IF($A104="","",SUMIFS($C:$C,$A:$A,$H104,$B:$B,"&gt;="&amp;INT($B104),$B:$B,"&lt;"&amp;(INT($B104)+1)))</f>
        <v/>
      </c>
      <c r="F104" s="19" t="str">
        <f aca="false">IF($A104="","",IF(ISNA(MATCH($H104,Buffers!$AE:$AE,0)),"Not on Buffers",IF(NOT(ISNUMBER($B104)),"Needs a date",IF(INT($B104)&lt;PlanDate,"Past due",IF(INT($B104)=PlanDate,"Due today",IF(AND(INDEX(Buffers!$L:$L,MATCH($H104,Buffers!$AE:$AE,0))="Planned",$E104&gt;0,INT($B104)&lt;=PlanDate+ROUNDUP(IF(ISNUMBER(SpikeHorizon),SpikeHorizon,INDEX(Buffers!$D:$D,MATCH($H104,Buffers!$AE:$AE,0))),0),$E104&gt;=SpikePct*INDEX(Buffers!$P:$P,MATCH($H104,Buffers!$AE:$AE,0))),"Spike","Not qualified"))))))</f>
        <v/>
      </c>
      <c r="G104" s="8" t="str">
        <f aca="false">IF($A104="","",IF(OR($F104="Past due",$F104="Due today",$F104="Spike"),$C104,0))</f>
        <v/>
      </c>
      <c r="H104" s="8" t="str">
        <f aca="false">IF($A104="","",SUBSTITUTE(SUBSTITUTE(SUBSTITUTE($A104&amp;"","~","~~"),"*","~*"),"?","~?"))</f>
        <v/>
      </c>
    </row>
    <row r="105" customFormat="false" ht="15" hidden="false" customHeight="false" outlineLevel="0" collapsed="false">
      <c r="A105" s="11"/>
      <c r="B105" s="6"/>
      <c r="C105" s="11"/>
      <c r="D105" s="11"/>
      <c r="E105" s="8" t="str">
        <f aca="false">IF($A105="","",SUMIFS($C:$C,$A:$A,$H105,$B:$B,"&gt;="&amp;INT($B105),$B:$B,"&lt;"&amp;(INT($B105)+1)))</f>
        <v/>
      </c>
      <c r="F105" s="19" t="str">
        <f aca="false">IF($A105="","",IF(ISNA(MATCH($H105,Buffers!$AE:$AE,0)),"Not on Buffers",IF(NOT(ISNUMBER($B105)),"Needs a date",IF(INT($B105)&lt;PlanDate,"Past due",IF(INT($B105)=PlanDate,"Due today",IF(AND(INDEX(Buffers!$L:$L,MATCH($H105,Buffers!$AE:$AE,0))="Planned",$E105&gt;0,INT($B105)&lt;=PlanDate+ROUNDUP(IF(ISNUMBER(SpikeHorizon),SpikeHorizon,INDEX(Buffers!$D:$D,MATCH($H105,Buffers!$AE:$AE,0))),0),$E105&gt;=SpikePct*INDEX(Buffers!$P:$P,MATCH($H105,Buffers!$AE:$AE,0))),"Spike","Not qualified"))))))</f>
        <v/>
      </c>
      <c r="G105" s="8" t="str">
        <f aca="false">IF($A105="","",IF(OR($F105="Past due",$F105="Due today",$F105="Spike"),$C105,0))</f>
        <v/>
      </c>
      <c r="H105" s="8" t="str">
        <f aca="false">IF($A105="","",SUBSTITUTE(SUBSTITUTE(SUBSTITUTE($A105&amp;"","~","~~"),"*","~*"),"?","~?"))</f>
        <v/>
      </c>
    </row>
    <row r="106" customFormat="false" ht="15" hidden="false" customHeight="false" outlineLevel="0" collapsed="false">
      <c r="A106" s="11"/>
      <c r="B106" s="6"/>
      <c r="C106" s="11"/>
      <c r="D106" s="11"/>
      <c r="E106" s="8" t="str">
        <f aca="false">IF($A106="","",SUMIFS($C:$C,$A:$A,$H106,$B:$B,"&gt;="&amp;INT($B106),$B:$B,"&lt;"&amp;(INT($B106)+1)))</f>
        <v/>
      </c>
      <c r="F106" s="19" t="str">
        <f aca="false">IF($A106="","",IF(ISNA(MATCH($H106,Buffers!$AE:$AE,0)),"Not on Buffers",IF(NOT(ISNUMBER($B106)),"Needs a date",IF(INT($B106)&lt;PlanDate,"Past due",IF(INT($B106)=PlanDate,"Due today",IF(AND(INDEX(Buffers!$L:$L,MATCH($H106,Buffers!$AE:$AE,0))="Planned",$E106&gt;0,INT($B106)&lt;=PlanDate+ROUNDUP(IF(ISNUMBER(SpikeHorizon),SpikeHorizon,INDEX(Buffers!$D:$D,MATCH($H106,Buffers!$AE:$AE,0))),0),$E106&gt;=SpikePct*INDEX(Buffers!$P:$P,MATCH($H106,Buffers!$AE:$AE,0))),"Spike","Not qualified"))))))</f>
        <v/>
      </c>
      <c r="G106" s="8" t="str">
        <f aca="false">IF($A106="","",IF(OR($F106="Past due",$F106="Due today",$F106="Spike"),$C106,0))</f>
        <v/>
      </c>
      <c r="H106" s="8" t="str">
        <f aca="false">IF($A106="","",SUBSTITUTE(SUBSTITUTE(SUBSTITUTE($A106&amp;"","~","~~"),"*","~*"),"?","~?"))</f>
        <v/>
      </c>
    </row>
    <row r="107" customFormat="false" ht="15" hidden="false" customHeight="false" outlineLevel="0" collapsed="false">
      <c r="A107" s="11"/>
      <c r="B107" s="6"/>
      <c r="C107" s="11"/>
      <c r="D107" s="11"/>
      <c r="E107" s="8" t="str">
        <f aca="false">IF($A107="","",SUMIFS($C:$C,$A:$A,$H107,$B:$B,"&gt;="&amp;INT($B107),$B:$B,"&lt;"&amp;(INT($B107)+1)))</f>
        <v/>
      </c>
      <c r="F107" s="19" t="str">
        <f aca="false">IF($A107="","",IF(ISNA(MATCH($H107,Buffers!$AE:$AE,0)),"Not on Buffers",IF(NOT(ISNUMBER($B107)),"Needs a date",IF(INT($B107)&lt;PlanDate,"Past due",IF(INT($B107)=PlanDate,"Due today",IF(AND(INDEX(Buffers!$L:$L,MATCH($H107,Buffers!$AE:$AE,0))="Planned",$E107&gt;0,INT($B107)&lt;=PlanDate+ROUNDUP(IF(ISNUMBER(SpikeHorizon),SpikeHorizon,INDEX(Buffers!$D:$D,MATCH($H107,Buffers!$AE:$AE,0))),0),$E107&gt;=SpikePct*INDEX(Buffers!$P:$P,MATCH($H107,Buffers!$AE:$AE,0))),"Spike","Not qualified"))))))</f>
        <v/>
      </c>
      <c r="G107" s="8" t="str">
        <f aca="false">IF($A107="","",IF(OR($F107="Past due",$F107="Due today",$F107="Spike"),$C107,0))</f>
        <v/>
      </c>
      <c r="H107" s="8" t="str">
        <f aca="false">IF($A107="","",SUBSTITUTE(SUBSTITUTE(SUBSTITUTE($A107&amp;"","~","~~"),"*","~*"),"?","~?"))</f>
        <v/>
      </c>
    </row>
    <row r="108" customFormat="false" ht="15" hidden="false" customHeight="false" outlineLevel="0" collapsed="false">
      <c r="A108" s="11"/>
      <c r="B108" s="6"/>
      <c r="C108" s="11"/>
      <c r="D108" s="11"/>
      <c r="E108" s="8" t="str">
        <f aca="false">IF($A108="","",SUMIFS($C:$C,$A:$A,$H108,$B:$B,"&gt;="&amp;INT($B108),$B:$B,"&lt;"&amp;(INT($B108)+1)))</f>
        <v/>
      </c>
      <c r="F108" s="19" t="str">
        <f aca="false">IF($A108="","",IF(ISNA(MATCH($H108,Buffers!$AE:$AE,0)),"Not on Buffers",IF(NOT(ISNUMBER($B108)),"Needs a date",IF(INT($B108)&lt;PlanDate,"Past due",IF(INT($B108)=PlanDate,"Due today",IF(AND(INDEX(Buffers!$L:$L,MATCH($H108,Buffers!$AE:$AE,0))="Planned",$E108&gt;0,INT($B108)&lt;=PlanDate+ROUNDUP(IF(ISNUMBER(SpikeHorizon),SpikeHorizon,INDEX(Buffers!$D:$D,MATCH($H108,Buffers!$AE:$AE,0))),0),$E108&gt;=SpikePct*INDEX(Buffers!$P:$P,MATCH($H108,Buffers!$AE:$AE,0))),"Spike","Not qualified"))))))</f>
        <v/>
      </c>
      <c r="G108" s="8" t="str">
        <f aca="false">IF($A108="","",IF(OR($F108="Past due",$F108="Due today",$F108="Spike"),$C108,0))</f>
        <v/>
      </c>
      <c r="H108" s="8" t="str">
        <f aca="false">IF($A108="","",SUBSTITUTE(SUBSTITUTE(SUBSTITUTE($A108&amp;"","~","~~"),"*","~*"),"?","~?"))</f>
        <v/>
      </c>
    </row>
    <row r="109" customFormat="false" ht="15" hidden="false" customHeight="false" outlineLevel="0" collapsed="false">
      <c r="A109" s="11"/>
      <c r="B109" s="6"/>
      <c r="C109" s="11"/>
      <c r="D109" s="11"/>
      <c r="E109" s="8" t="str">
        <f aca="false">IF($A109="","",SUMIFS($C:$C,$A:$A,$H109,$B:$B,"&gt;="&amp;INT($B109),$B:$B,"&lt;"&amp;(INT($B109)+1)))</f>
        <v/>
      </c>
      <c r="F109" s="19" t="str">
        <f aca="false">IF($A109="","",IF(ISNA(MATCH($H109,Buffers!$AE:$AE,0)),"Not on Buffers",IF(NOT(ISNUMBER($B109)),"Needs a date",IF(INT($B109)&lt;PlanDate,"Past due",IF(INT($B109)=PlanDate,"Due today",IF(AND(INDEX(Buffers!$L:$L,MATCH($H109,Buffers!$AE:$AE,0))="Planned",$E109&gt;0,INT($B109)&lt;=PlanDate+ROUNDUP(IF(ISNUMBER(SpikeHorizon),SpikeHorizon,INDEX(Buffers!$D:$D,MATCH($H109,Buffers!$AE:$AE,0))),0),$E109&gt;=SpikePct*INDEX(Buffers!$P:$P,MATCH($H109,Buffers!$AE:$AE,0))),"Spike","Not qualified"))))))</f>
        <v/>
      </c>
      <c r="G109" s="8" t="str">
        <f aca="false">IF($A109="","",IF(OR($F109="Past due",$F109="Due today",$F109="Spike"),$C109,0))</f>
        <v/>
      </c>
      <c r="H109" s="8" t="str">
        <f aca="false">IF($A109="","",SUBSTITUTE(SUBSTITUTE(SUBSTITUTE($A109&amp;"","~","~~"),"*","~*"),"?","~?"))</f>
        <v/>
      </c>
    </row>
    <row r="110" customFormat="false" ht="15" hidden="false" customHeight="false" outlineLevel="0" collapsed="false">
      <c r="A110" s="11"/>
      <c r="B110" s="6"/>
      <c r="C110" s="11"/>
      <c r="D110" s="11"/>
      <c r="E110" s="8" t="str">
        <f aca="false">IF($A110="","",SUMIFS($C:$C,$A:$A,$H110,$B:$B,"&gt;="&amp;INT($B110),$B:$B,"&lt;"&amp;(INT($B110)+1)))</f>
        <v/>
      </c>
      <c r="F110" s="19" t="str">
        <f aca="false">IF($A110="","",IF(ISNA(MATCH($H110,Buffers!$AE:$AE,0)),"Not on Buffers",IF(NOT(ISNUMBER($B110)),"Needs a date",IF(INT($B110)&lt;PlanDate,"Past due",IF(INT($B110)=PlanDate,"Due today",IF(AND(INDEX(Buffers!$L:$L,MATCH($H110,Buffers!$AE:$AE,0))="Planned",$E110&gt;0,INT($B110)&lt;=PlanDate+ROUNDUP(IF(ISNUMBER(SpikeHorizon),SpikeHorizon,INDEX(Buffers!$D:$D,MATCH($H110,Buffers!$AE:$AE,0))),0),$E110&gt;=SpikePct*INDEX(Buffers!$P:$P,MATCH($H110,Buffers!$AE:$AE,0))),"Spike","Not qualified"))))))</f>
        <v/>
      </c>
      <c r="G110" s="8" t="str">
        <f aca="false">IF($A110="","",IF(OR($F110="Past due",$F110="Due today",$F110="Spike"),$C110,0))</f>
        <v/>
      </c>
      <c r="H110" s="8" t="str">
        <f aca="false">IF($A110="","",SUBSTITUTE(SUBSTITUTE(SUBSTITUTE($A110&amp;"","~","~~"),"*","~*"),"?","~?"))</f>
        <v/>
      </c>
    </row>
    <row r="111" customFormat="false" ht="15" hidden="false" customHeight="false" outlineLevel="0" collapsed="false">
      <c r="A111" s="11"/>
      <c r="B111" s="6"/>
      <c r="C111" s="11"/>
      <c r="D111" s="11"/>
      <c r="E111" s="8" t="str">
        <f aca="false">IF($A111="","",SUMIFS($C:$C,$A:$A,$H111,$B:$B,"&gt;="&amp;INT($B111),$B:$B,"&lt;"&amp;(INT($B111)+1)))</f>
        <v/>
      </c>
      <c r="F111" s="19" t="str">
        <f aca="false">IF($A111="","",IF(ISNA(MATCH($H111,Buffers!$AE:$AE,0)),"Not on Buffers",IF(NOT(ISNUMBER($B111)),"Needs a date",IF(INT($B111)&lt;PlanDate,"Past due",IF(INT($B111)=PlanDate,"Due today",IF(AND(INDEX(Buffers!$L:$L,MATCH($H111,Buffers!$AE:$AE,0))="Planned",$E111&gt;0,INT($B111)&lt;=PlanDate+ROUNDUP(IF(ISNUMBER(SpikeHorizon),SpikeHorizon,INDEX(Buffers!$D:$D,MATCH($H111,Buffers!$AE:$AE,0))),0),$E111&gt;=SpikePct*INDEX(Buffers!$P:$P,MATCH($H111,Buffers!$AE:$AE,0))),"Spike","Not qualified"))))))</f>
        <v/>
      </c>
      <c r="G111" s="8" t="str">
        <f aca="false">IF($A111="","",IF(OR($F111="Past due",$F111="Due today",$F111="Spike"),$C111,0))</f>
        <v/>
      </c>
      <c r="H111" s="8" t="str">
        <f aca="false">IF($A111="","",SUBSTITUTE(SUBSTITUTE(SUBSTITUTE($A111&amp;"","~","~~"),"*","~*"),"?","~?"))</f>
        <v/>
      </c>
    </row>
    <row r="112" customFormat="false" ht="15" hidden="false" customHeight="false" outlineLevel="0" collapsed="false">
      <c r="A112" s="11"/>
      <c r="B112" s="6"/>
      <c r="C112" s="11"/>
      <c r="D112" s="11"/>
      <c r="E112" s="8" t="str">
        <f aca="false">IF($A112="","",SUMIFS($C:$C,$A:$A,$H112,$B:$B,"&gt;="&amp;INT($B112),$B:$B,"&lt;"&amp;(INT($B112)+1)))</f>
        <v/>
      </c>
      <c r="F112" s="19" t="str">
        <f aca="false">IF($A112="","",IF(ISNA(MATCH($H112,Buffers!$AE:$AE,0)),"Not on Buffers",IF(NOT(ISNUMBER($B112)),"Needs a date",IF(INT($B112)&lt;PlanDate,"Past due",IF(INT($B112)=PlanDate,"Due today",IF(AND(INDEX(Buffers!$L:$L,MATCH($H112,Buffers!$AE:$AE,0))="Planned",$E112&gt;0,INT($B112)&lt;=PlanDate+ROUNDUP(IF(ISNUMBER(SpikeHorizon),SpikeHorizon,INDEX(Buffers!$D:$D,MATCH($H112,Buffers!$AE:$AE,0))),0),$E112&gt;=SpikePct*INDEX(Buffers!$P:$P,MATCH($H112,Buffers!$AE:$AE,0))),"Spike","Not qualified"))))))</f>
        <v/>
      </c>
      <c r="G112" s="8" t="str">
        <f aca="false">IF($A112="","",IF(OR($F112="Past due",$F112="Due today",$F112="Spike"),$C112,0))</f>
        <v/>
      </c>
      <c r="H112" s="8" t="str">
        <f aca="false">IF($A112="","",SUBSTITUTE(SUBSTITUTE(SUBSTITUTE($A112&amp;"","~","~~"),"*","~*"),"?","~?"))</f>
        <v/>
      </c>
    </row>
    <row r="113" customFormat="false" ht="15" hidden="false" customHeight="false" outlineLevel="0" collapsed="false">
      <c r="A113" s="11"/>
      <c r="B113" s="6"/>
      <c r="C113" s="11"/>
      <c r="D113" s="11"/>
      <c r="E113" s="8" t="str">
        <f aca="false">IF($A113="","",SUMIFS($C:$C,$A:$A,$H113,$B:$B,"&gt;="&amp;INT($B113),$B:$B,"&lt;"&amp;(INT($B113)+1)))</f>
        <v/>
      </c>
      <c r="F113" s="19" t="str">
        <f aca="false">IF($A113="","",IF(ISNA(MATCH($H113,Buffers!$AE:$AE,0)),"Not on Buffers",IF(NOT(ISNUMBER($B113)),"Needs a date",IF(INT($B113)&lt;PlanDate,"Past due",IF(INT($B113)=PlanDate,"Due today",IF(AND(INDEX(Buffers!$L:$L,MATCH($H113,Buffers!$AE:$AE,0))="Planned",$E113&gt;0,INT($B113)&lt;=PlanDate+ROUNDUP(IF(ISNUMBER(SpikeHorizon),SpikeHorizon,INDEX(Buffers!$D:$D,MATCH($H113,Buffers!$AE:$AE,0))),0),$E113&gt;=SpikePct*INDEX(Buffers!$P:$P,MATCH($H113,Buffers!$AE:$AE,0))),"Spike","Not qualified"))))))</f>
        <v/>
      </c>
      <c r="G113" s="8" t="str">
        <f aca="false">IF($A113="","",IF(OR($F113="Past due",$F113="Due today",$F113="Spike"),$C113,0))</f>
        <v/>
      </c>
      <c r="H113" s="8" t="str">
        <f aca="false">IF($A113="","",SUBSTITUTE(SUBSTITUTE(SUBSTITUTE($A113&amp;"","~","~~"),"*","~*"),"?","~?"))</f>
        <v/>
      </c>
    </row>
    <row r="114" customFormat="false" ht="15" hidden="false" customHeight="false" outlineLevel="0" collapsed="false">
      <c r="A114" s="11"/>
      <c r="B114" s="6"/>
      <c r="C114" s="11"/>
      <c r="D114" s="11"/>
      <c r="E114" s="8" t="str">
        <f aca="false">IF($A114="","",SUMIFS($C:$C,$A:$A,$H114,$B:$B,"&gt;="&amp;INT($B114),$B:$B,"&lt;"&amp;(INT($B114)+1)))</f>
        <v/>
      </c>
      <c r="F114" s="19" t="str">
        <f aca="false">IF($A114="","",IF(ISNA(MATCH($H114,Buffers!$AE:$AE,0)),"Not on Buffers",IF(NOT(ISNUMBER($B114)),"Needs a date",IF(INT($B114)&lt;PlanDate,"Past due",IF(INT($B114)=PlanDate,"Due today",IF(AND(INDEX(Buffers!$L:$L,MATCH($H114,Buffers!$AE:$AE,0))="Planned",$E114&gt;0,INT($B114)&lt;=PlanDate+ROUNDUP(IF(ISNUMBER(SpikeHorizon),SpikeHorizon,INDEX(Buffers!$D:$D,MATCH($H114,Buffers!$AE:$AE,0))),0),$E114&gt;=SpikePct*INDEX(Buffers!$P:$P,MATCH($H114,Buffers!$AE:$AE,0))),"Spike","Not qualified"))))))</f>
        <v/>
      </c>
      <c r="G114" s="8" t="str">
        <f aca="false">IF($A114="","",IF(OR($F114="Past due",$F114="Due today",$F114="Spike"),$C114,0))</f>
        <v/>
      </c>
      <c r="H114" s="8" t="str">
        <f aca="false">IF($A114="","",SUBSTITUTE(SUBSTITUTE(SUBSTITUTE($A114&amp;"","~","~~"),"*","~*"),"?","~?"))</f>
        <v/>
      </c>
    </row>
    <row r="115" customFormat="false" ht="15" hidden="false" customHeight="false" outlineLevel="0" collapsed="false">
      <c r="A115" s="11"/>
      <c r="B115" s="6"/>
      <c r="C115" s="11"/>
      <c r="D115" s="11"/>
      <c r="E115" s="8" t="str">
        <f aca="false">IF($A115="","",SUMIFS($C:$C,$A:$A,$H115,$B:$B,"&gt;="&amp;INT($B115),$B:$B,"&lt;"&amp;(INT($B115)+1)))</f>
        <v/>
      </c>
      <c r="F115" s="19" t="str">
        <f aca="false">IF($A115="","",IF(ISNA(MATCH($H115,Buffers!$AE:$AE,0)),"Not on Buffers",IF(NOT(ISNUMBER($B115)),"Needs a date",IF(INT($B115)&lt;PlanDate,"Past due",IF(INT($B115)=PlanDate,"Due today",IF(AND(INDEX(Buffers!$L:$L,MATCH($H115,Buffers!$AE:$AE,0))="Planned",$E115&gt;0,INT($B115)&lt;=PlanDate+ROUNDUP(IF(ISNUMBER(SpikeHorizon),SpikeHorizon,INDEX(Buffers!$D:$D,MATCH($H115,Buffers!$AE:$AE,0))),0),$E115&gt;=SpikePct*INDEX(Buffers!$P:$P,MATCH($H115,Buffers!$AE:$AE,0))),"Spike","Not qualified"))))))</f>
        <v/>
      </c>
      <c r="G115" s="8" t="str">
        <f aca="false">IF($A115="","",IF(OR($F115="Past due",$F115="Due today",$F115="Spike"),$C115,0))</f>
        <v/>
      </c>
      <c r="H115" s="8" t="str">
        <f aca="false">IF($A115="","",SUBSTITUTE(SUBSTITUTE(SUBSTITUTE($A115&amp;"","~","~~"),"*","~*"),"?","~?"))</f>
        <v/>
      </c>
    </row>
    <row r="116" customFormat="false" ht="15" hidden="false" customHeight="false" outlineLevel="0" collapsed="false">
      <c r="A116" s="11"/>
      <c r="B116" s="6"/>
      <c r="C116" s="11"/>
      <c r="D116" s="11"/>
      <c r="E116" s="8" t="str">
        <f aca="false">IF($A116="","",SUMIFS($C:$C,$A:$A,$H116,$B:$B,"&gt;="&amp;INT($B116),$B:$B,"&lt;"&amp;(INT($B116)+1)))</f>
        <v/>
      </c>
      <c r="F116" s="19" t="str">
        <f aca="false">IF($A116="","",IF(ISNA(MATCH($H116,Buffers!$AE:$AE,0)),"Not on Buffers",IF(NOT(ISNUMBER($B116)),"Needs a date",IF(INT($B116)&lt;PlanDate,"Past due",IF(INT($B116)=PlanDate,"Due today",IF(AND(INDEX(Buffers!$L:$L,MATCH($H116,Buffers!$AE:$AE,0))="Planned",$E116&gt;0,INT($B116)&lt;=PlanDate+ROUNDUP(IF(ISNUMBER(SpikeHorizon),SpikeHorizon,INDEX(Buffers!$D:$D,MATCH($H116,Buffers!$AE:$AE,0))),0),$E116&gt;=SpikePct*INDEX(Buffers!$P:$P,MATCH($H116,Buffers!$AE:$AE,0))),"Spike","Not qualified"))))))</f>
        <v/>
      </c>
      <c r="G116" s="8" t="str">
        <f aca="false">IF($A116="","",IF(OR($F116="Past due",$F116="Due today",$F116="Spike"),$C116,0))</f>
        <v/>
      </c>
      <c r="H116" s="8" t="str">
        <f aca="false">IF($A116="","",SUBSTITUTE(SUBSTITUTE(SUBSTITUTE($A116&amp;"","~","~~"),"*","~*"),"?","~?"))</f>
        <v/>
      </c>
    </row>
    <row r="117" customFormat="false" ht="15" hidden="false" customHeight="false" outlineLevel="0" collapsed="false">
      <c r="A117" s="11"/>
      <c r="B117" s="6"/>
      <c r="C117" s="11"/>
      <c r="D117" s="11"/>
      <c r="E117" s="8" t="str">
        <f aca="false">IF($A117="","",SUMIFS($C:$C,$A:$A,$H117,$B:$B,"&gt;="&amp;INT($B117),$B:$B,"&lt;"&amp;(INT($B117)+1)))</f>
        <v/>
      </c>
      <c r="F117" s="19" t="str">
        <f aca="false">IF($A117="","",IF(ISNA(MATCH($H117,Buffers!$AE:$AE,0)),"Not on Buffers",IF(NOT(ISNUMBER($B117)),"Needs a date",IF(INT($B117)&lt;PlanDate,"Past due",IF(INT($B117)=PlanDate,"Due today",IF(AND(INDEX(Buffers!$L:$L,MATCH($H117,Buffers!$AE:$AE,0))="Planned",$E117&gt;0,INT($B117)&lt;=PlanDate+ROUNDUP(IF(ISNUMBER(SpikeHorizon),SpikeHorizon,INDEX(Buffers!$D:$D,MATCH($H117,Buffers!$AE:$AE,0))),0),$E117&gt;=SpikePct*INDEX(Buffers!$P:$P,MATCH($H117,Buffers!$AE:$AE,0))),"Spike","Not qualified"))))))</f>
        <v/>
      </c>
      <c r="G117" s="8" t="str">
        <f aca="false">IF($A117="","",IF(OR($F117="Past due",$F117="Due today",$F117="Spike"),$C117,0))</f>
        <v/>
      </c>
      <c r="H117" s="8" t="str">
        <f aca="false">IF($A117="","",SUBSTITUTE(SUBSTITUTE(SUBSTITUTE($A117&amp;"","~","~~"),"*","~*"),"?","~?"))</f>
        <v/>
      </c>
    </row>
    <row r="118" customFormat="false" ht="15" hidden="false" customHeight="false" outlineLevel="0" collapsed="false">
      <c r="A118" s="11"/>
      <c r="B118" s="6"/>
      <c r="C118" s="11"/>
      <c r="D118" s="11"/>
      <c r="E118" s="8" t="str">
        <f aca="false">IF($A118="","",SUMIFS($C:$C,$A:$A,$H118,$B:$B,"&gt;="&amp;INT($B118),$B:$B,"&lt;"&amp;(INT($B118)+1)))</f>
        <v/>
      </c>
      <c r="F118" s="19" t="str">
        <f aca="false">IF($A118="","",IF(ISNA(MATCH($H118,Buffers!$AE:$AE,0)),"Not on Buffers",IF(NOT(ISNUMBER($B118)),"Needs a date",IF(INT($B118)&lt;PlanDate,"Past due",IF(INT($B118)=PlanDate,"Due today",IF(AND(INDEX(Buffers!$L:$L,MATCH($H118,Buffers!$AE:$AE,0))="Planned",$E118&gt;0,INT($B118)&lt;=PlanDate+ROUNDUP(IF(ISNUMBER(SpikeHorizon),SpikeHorizon,INDEX(Buffers!$D:$D,MATCH($H118,Buffers!$AE:$AE,0))),0),$E118&gt;=SpikePct*INDEX(Buffers!$P:$P,MATCH($H118,Buffers!$AE:$AE,0))),"Spike","Not qualified"))))))</f>
        <v/>
      </c>
      <c r="G118" s="8" t="str">
        <f aca="false">IF($A118="","",IF(OR($F118="Past due",$F118="Due today",$F118="Spike"),$C118,0))</f>
        <v/>
      </c>
      <c r="H118" s="8" t="str">
        <f aca="false">IF($A118="","",SUBSTITUTE(SUBSTITUTE(SUBSTITUTE($A118&amp;"","~","~~"),"*","~*"),"?","~?"))</f>
        <v/>
      </c>
    </row>
    <row r="119" customFormat="false" ht="15" hidden="false" customHeight="false" outlineLevel="0" collapsed="false">
      <c r="A119" s="11"/>
      <c r="B119" s="6"/>
      <c r="C119" s="11"/>
      <c r="D119" s="11"/>
      <c r="E119" s="8" t="str">
        <f aca="false">IF($A119="","",SUMIFS($C:$C,$A:$A,$H119,$B:$B,"&gt;="&amp;INT($B119),$B:$B,"&lt;"&amp;(INT($B119)+1)))</f>
        <v/>
      </c>
      <c r="F119" s="19" t="str">
        <f aca="false">IF($A119="","",IF(ISNA(MATCH($H119,Buffers!$AE:$AE,0)),"Not on Buffers",IF(NOT(ISNUMBER($B119)),"Needs a date",IF(INT($B119)&lt;PlanDate,"Past due",IF(INT($B119)=PlanDate,"Due today",IF(AND(INDEX(Buffers!$L:$L,MATCH($H119,Buffers!$AE:$AE,0))="Planned",$E119&gt;0,INT($B119)&lt;=PlanDate+ROUNDUP(IF(ISNUMBER(SpikeHorizon),SpikeHorizon,INDEX(Buffers!$D:$D,MATCH($H119,Buffers!$AE:$AE,0))),0),$E119&gt;=SpikePct*INDEX(Buffers!$P:$P,MATCH($H119,Buffers!$AE:$AE,0))),"Spike","Not qualified"))))))</f>
        <v/>
      </c>
      <c r="G119" s="8" t="str">
        <f aca="false">IF($A119="","",IF(OR($F119="Past due",$F119="Due today",$F119="Spike"),$C119,0))</f>
        <v/>
      </c>
      <c r="H119" s="8" t="str">
        <f aca="false">IF($A119="","",SUBSTITUTE(SUBSTITUTE(SUBSTITUTE($A119&amp;"","~","~~"),"*","~*"),"?","~?"))</f>
        <v/>
      </c>
    </row>
    <row r="120" customFormat="false" ht="15" hidden="false" customHeight="false" outlineLevel="0" collapsed="false">
      <c r="A120" s="11"/>
      <c r="B120" s="6"/>
      <c r="C120" s="11"/>
      <c r="D120" s="11"/>
      <c r="E120" s="8" t="str">
        <f aca="false">IF($A120="","",SUMIFS($C:$C,$A:$A,$H120,$B:$B,"&gt;="&amp;INT($B120),$B:$B,"&lt;"&amp;(INT($B120)+1)))</f>
        <v/>
      </c>
      <c r="F120" s="19" t="str">
        <f aca="false">IF($A120="","",IF(ISNA(MATCH($H120,Buffers!$AE:$AE,0)),"Not on Buffers",IF(NOT(ISNUMBER($B120)),"Needs a date",IF(INT($B120)&lt;PlanDate,"Past due",IF(INT($B120)=PlanDate,"Due today",IF(AND(INDEX(Buffers!$L:$L,MATCH($H120,Buffers!$AE:$AE,0))="Planned",$E120&gt;0,INT($B120)&lt;=PlanDate+ROUNDUP(IF(ISNUMBER(SpikeHorizon),SpikeHorizon,INDEX(Buffers!$D:$D,MATCH($H120,Buffers!$AE:$AE,0))),0),$E120&gt;=SpikePct*INDEX(Buffers!$P:$P,MATCH($H120,Buffers!$AE:$AE,0))),"Spike","Not qualified"))))))</f>
        <v/>
      </c>
      <c r="G120" s="8" t="str">
        <f aca="false">IF($A120="","",IF(OR($F120="Past due",$F120="Due today",$F120="Spike"),$C120,0))</f>
        <v/>
      </c>
      <c r="H120" s="8" t="str">
        <f aca="false">IF($A120="","",SUBSTITUTE(SUBSTITUTE(SUBSTITUTE($A120&amp;"","~","~~"),"*","~*"),"?","~?"))</f>
        <v/>
      </c>
    </row>
    <row r="121" customFormat="false" ht="15" hidden="false" customHeight="false" outlineLevel="0" collapsed="false">
      <c r="A121" s="11"/>
      <c r="B121" s="6"/>
      <c r="C121" s="11"/>
      <c r="D121" s="11"/>
      <c r="E121" s="8" t="str">
        <f aca="false">IF($A121="","",SUMIFS($C:$C,$A:$A,$H121,$B:$B,"&gt;="&amp;INT($B121),$B:$B,"&lt;"&amp;(INT($B121)+1)))</f>
        <v/>
      </c>
      <c r="F121" s="19" t="str">
        <f aca="false">IF($A121="","",IF(ISNA(MATCH($H121,Buffers!$AE:$AE,0)),"Not on Buffers",IF(NOT(ISNUMBER($B121)),"Needs a date",IF(INT($B121)&lt;PlanDate,"Past due",IF(INT($B121)=PlanDate,"Due today",IF(AND(INDEX(Buffers!$L:$L,MATCH($H121,Buffers!$AE:$AE,0))="Planned",$E121&gt;0,INT($B121)&lt;=PlanDate+ROUNDUP(IF(ISNUMBER(SpikeHorizon),SpikeHorizon,INDEX(Buffers!$D:$D,MATCH($H121,Buffers!$AE:$AE,0))),0),$E121&gt;=SpikePct*INDEX(Buffers!$P:$P,MATCH($H121,Buffers!$AE:$AE,0))),"Spike","Not qualified"))))))</f>
        <v/>
      </c>
      <c r="G121" s="8" t="str">
        <f aca="false">IF($A121="","",IF(OR($F121="Past due",$F121="Due today",$F121="Spike"),$C121,0))</f>
        <v/>
      </c>
      <c r="H121" s="8" t="str">
        <f aca="false">IF($A121="","",SUBSTITUTE(SUBSTITUTE(SUBSTITUTE($A121&amp;"","~","~~"),"*","~*"),"?","~?"))</f>
        <v/>
      </c>
    </row>
    <row r="122" customFormat="false" ht="15" hidden="false" customHeight="false" outlineLevel="0" collapsed="false">
      <c r="A122" s="11"/>
      <c r="B122" s="6"/>
      <c r="C122" s="11"/>
      <c r="D122" s="11"/>
      <c r="E122" s="8" t="str">
        <f aca="false">IF($A122="","",SUMIFS($C:$C,$A:$A,$H122,$B:$B,"&gt;="&amp;INT($B122),$B:$B,"&lt;"&amp;(INT($B122)+1)))</f>
        <v/>
      </c>
      <c r="F122" s="19" t="str">
        <f aca="false">IF($A122="","",IF(ISNA(MATCH($H122,Buffers!$AE:$AE,0)),"Not on Buffers",IF(NOT(ISNUMBER($B122)),"Needs a date",IF(INT($B122)&lt;PlanDate,"Past due",IF(INT($B122)=PlanDate,"Due today",IF(AND(INDEX(Buffers!$L:$L,MATCH($H122,Buffers!$AE:$AE,0))="Planned",$E122&gt;0,INT($B122)&lt;=PlanDate+ROUNDUP(IF(ISNUMBER(SpikeHorizon),SpikeHorizon,INDEX(Buffers!$D:$D,MATCH($H122,Buffers!$AE:$AE,0))),0),$E122&gt;=SpikePct*INDEX(Buffers!$P:$P,MATCH($H122,Buffers!$AE:$AE,0))),"Spike","Not qualified"))))))</f>
        <v/>
      </c>
      <c r="G122" s="8" t="str">
        <f aca="false">IF($A122="","",IF(OR($F122="Past due",$F122="Due today",$F122="Spike"),$C122,0))</f>
        <v/>
      </c>
      <c r="H122" s="8" t="str">
        <f aca="false">IF($A122="","",SUBSTITUTE(SUBSTITUTE(SUBSTITUTE($A122&amp;"","~","~~"),"*","~*"),"?","~?"))</f>
        <v/>
      </c>
    </row>
    <row r="123" customFormat="false" ht="15" hidden="false" customHeight="false" outlineLevel="0" collapsed="false">
      <c r="A123" s="11"/>
      <c r="B123" s="6"/>
      <c r="C123" s="11"/>
      <c r="D123" s="11"/>
      <c r="E123" s="8" t="str">
        <f aca="false">IF($A123="","",SUMIFS($C:$C,$A:$A,$H123,$B:$B,"&gt;="&amp;INT($B123),$B:$B,"&lt;"&amp;(INT($B123)+1)))</f>
        <v/>
      </c>
      <c r="F123" s="19" t="str">
        <f aca="false">IF($A123="","",IF(ISNA(MATCH($H123,Buffers!$AE:$AE,0)),"Not on Buffers",IF(NOT(ISNUMBER($B123)),"Needs a date",IF(INT($B123)&lt;PlanDate,"Past due",IF(INT($B123)=PlanDate,"Due today",IF(AND(INDEX(Buffers!$L:$L,MATCH($H123,Buffers!$AE:$AE,0))="Planned",$E123&gt;0,INT($B123)&lt;=PlanDate+ROUNDUP(IF(ISNUMBER(SpikeHorizon),SpikeHorizon,INDEX(Buffers!$D:$D,MATCH($H123,Buffers!$AE:$AE,0))),0),$E123&gt;=SpikePct*INDEX(Buffers!$P:$P,MATCH($H123,Buffers!$AE:$AE,0))),"Spike","Not qualified"))))))</f>
        <v/>
      </c>
      <c r="G123" s="8" t="str">
        <f aca="false">IF($A123="","",IF(OR($F123="Past due",$F123="Due today",$F123="Spike"),$C123,0))</f>
        <v/>
      </c>
      <c r="H123" s="8" t="str">
        <f aca="false">IF($A123="","",SUBSTITUTE(SUBSTITUTE(SUBSTITUTE($A123&amp;"","~","~~"),"*","~*"),"?","~?"))</f>
        <v/>
      </c>
    </row>
    <row r="124" customFormat="false" ht="15" hidden="false" customHeight="false" outlineLevel="0" collapsed="false">
      <c r="A124" s="11"/>
      <c r="B124" s="6"/>
      <c r="C124" s="11"/>
      <c r="D124" s="11"/>
      <c r="E124" s="8" t="str">
        <f aca="false">IF($A124="","",SUMIFS($C:$C,$A:$A,$H124,$B:$B,"&gt;="&amp;INT($B124),$B:$B,"&lt;"&amp;(INT($B124)+1)))</f>
        <v/>
      </c>
      <c r="F124" s="19" t="str">
        <f aca="false">IF($A124="","",IF(ISNA(MATCH($H124,Buffers!$AE:$AE,0)),"Not on Buffers",IF(NOT(ISNUMBER($B124)),"Needs a date",IF(INT($B124)&lt;PlanDate,"Past due",IF(INT($B124)=PlanDate,"Due today",IF(AND(INDEX(Buffers!$L:$L,MATCH($H124,Buffers!$AE:$AE,0))="Planned",$E124&gt;0,INT($B124)&lt;=PlanDate+ROUNDUP(IF(ISNUMBER(SpikeHorizon),SpikeHorizon,INDEX(Buffers!$D:$D,MATCH($H124,Buffers!$AE:$AE,0))),0),$E124&gt;=SpikePct*INDEX(Buffers!$P:$P,MATCH($H124,Buffers!$AE:$AE,0))),"Spike","Not qualified"))))))</f>
        <v/>
      </c>
      <c r="G124" s="8" t="str">
        <f aca="false">IF($A124="","",IF(OR($F124="Past due",$F124="Due today",$F124="Spike"),$C124,0))</f>
        <v/>
      </c>
      <c r="H124" s="8" t="str">
        <f aca="false">IF($A124="","",SUBSTITUTE(SUBSTITUTE(SUBSTITUTE($A124&amp;"","~","~~"),"*","~*"),"?","~?"))</f>
        <v/>
      </c>
    </row>
    <row r="125" customFormat="false" ht="15" hidden="false" customHeight="false" outlineLevel="0" collapsed="false">
      <c r="A125" s="11"/>
      <c r="B125" s="6"/>
      <c r="C125" s="11"/>
      <c r="D125" s="11"/>
      <c r="E125" s="8" t="str">
        <f aca="false">IF($A125="","",SUMIFS($C:$C,$A:$A,$H125,$B:$B,"&gt;="&amp;INT($B125),$B:$B,"&lt;"&amp;(INT($B125)+1)))</f>
        <v/>
      </c>
      <c r="F125" s="19" t="str">
        <f aca="false">IF($A125="","",IF(ISNA(MATCH($H125,Buffers!$AE:$AE,0)),"Not on Buffers",IF(NOT(ISNUMBER($B125)),"Needs a date",IF(INT($B125)&lt;PlanDate,"Past due",IF(INT($B125)=PlanDate,"Due today",IF(AND(INDEX(Buffers!$L:$L,MATCH($H125,Buffers!$AE:$AE,0))="Planned",$E125&gt;0,INT($B125)&lt;=PlanDate+ROUNDUP(IF(ISNUMBER(SpikeHorizon),SpikeHorizon,INDEX(Buffers!$D:$D,MATCH($H125,Buffers!$AE:$AE,0))),0),$E125&gt;=SpikePct*INDEX(Buffers!$P:$P,MATCH($H125,Buffers!$AE:$AE,0))),"Spike","Not qualified"))))))</f>
        <v/>
      </c>
      <c r="G125" s="8" t="str">
        <f aca="false">IF($A125="","",IF(OR($F125="Past due",$F125="Due today",$F125="Spike"),$C125,0))</f>
        <v/>
      </c>
      <c r="H125" s="8" t="str">
        <f aca="false">IF($A125="","",SUBSTITUTE(SUBSTITUTE(SUBSTITUTE($A125&amp;"","~","~~"),"*","~*"),"?","~?"))</f>
        <v/>
      </c>
    </row>
    <row r="126" customFormat="false" ht="15" hidden="false" customHeight="false" outlineLevel="0" collapsed="false">
      <c r="A126" s="11"/>
      <c r="B126" s="6"/>
      <c r="C126" s="11"/>
      <c r="D126" s="11"/>
      <c r="E126" s="8" t="str">
        <f aca="false">IF($A126="","",SUMIFS($C:$C,$A:$A,$H126,$B:$B,"&gt;="&amp;INT($B126),$B:$B,"&lt;"&amp;(INT($B126)+1)))</f>
        <v/>
      </c>
      <c r="F126" s="19" t="str">
        <f aca="false">IF($A126="","",IF(ISNA(MATCH($H126,Buffers!$AE:$AE,0)),"Not on Buffers",IF(NOT(ISNUMBER($B126)),"Needs a date",IF(INT($B126)&lt;PlanDate,"Past due",IF(INT($B126)=PlanDate,"Due today",IF(AND(INDEX(Buffers!$L:$L,MATCH($H126,Buffers!$AE:$AE,0))="Planned",$E126&gt;0,INT($B126)&lt;=PlanDate+ROUNDUP(IF(ISNUMBER(SpikeHorizon),SpikeHorizon,INDEX(Buffers!$D:$D,MATCH($H126,Buffers!$AE:$AE,0))),0),$E126&gt;=SpikePct*INDEX(Buffers!$P:$P,MATCH($H126,Buffers!$AE:$AE,0))),"Spike","Not qualified"))))))</f>
        <v/>
      </c>
      <c r="G126" s="8" t="str">
        <f aca="false">IF($A126="","",IF(OR($F126="Past due",$F126="Due today",$F126="Spike"),$C126,0))</f>
        <v/>
      </c>
      <c r="H126" s="8" t="str">
        <f aca="false">IF($A126="","",SUBSTITUTE(SUBSTITUTE(SUBSTITUTE($A126&amp;"","~","~~"),"*","~*"),"?","~?"))</f>
        <v/>
      </c>
    </row>
    <row r="127" customFormat="false" ht="15" hidden="false" customHeight="false" outlineLevel="0" collapsed="false">
      <c r="A127" s="11"/>
      <c r="B127" s="6"/>
      <c r="C127" s="11"/>
      <c r="D127" s="11"/>
      <c r="E127" s="8" t="str">
        <f aca="false">IF($A127="","",SUMIFS($C:$C,$A:$A,$H127,$B:$B,"&gt;="&amp;INT($B127),$B:$B,"&lt;"&amp;(INT($B127)+1)))</f>
        <v/>
      </c>
      <c r="F127" s="19" t="str">
        <f aca="false">IF($A127="","",IF(ISNA(MATCH($H127,Buffers!$AE:$AE,0)),"Not on Buffers",IF(NOT(ISNUMBER($B127)),"Needs a date",IF(INT($B127)&lt;PlanDate,"Past due",IF(INT($B127)=PlanDate,"Due today",IF(AND(INDEX(Buffers!$L:$L,MATCH($H127,Buffers!$AE:$AE,0))="Planned",$E127&gt;0,INT($B127)&lt;=PlanDate+ROUNDUP(IF(ISNUMBER(SpikeHorizon),SpikeHorizon,INDEX(Buffers!$D:$D,MATCH($H127,Buffers!$AE:$AE,0))),0),$E127&gt;=SpikePct*INDEX(Buffers!$P:$P,MATCH($H127,Buffers!$AE:$AE,0))),"Spike","Not qualified"))))))</f>
        <v/>
      </c>
      <c r="G127" s="8" t="str">
        <f aca="false">IF($A127="","",IF(OR($F127="Past due",$F127="Due today",$F127="Spike"),$C127,0))</f>
        <v/>
      </c>
      <c r="H127" s="8" t="str">
        <f aca="false">IF($A127="","",SUBSTITUTE(SUBSTITUTE(SUBSTITUTE($A127&amp;"","~","~~"),"*","~*"),"?","~?"))</f>
        <v/>
      </c>
    </row>
    <row r="128" customFormat="false" ht="15" hidden="false" customHeight="false" outlineLevel="0" collapsed="false">
      <c r="A128" s="11"/>
      <c r="B128" s="6"/>
      <c r="C128" s="11"/>
      <c r="D128" s="11"/>
      <c r="E128" s="8" t="str">
        <f aca="false">IF($A128="","",SUMIFS($C:$C,$A:$A,$H128,$B:$B,"&gt;="&amp;INT($B128),$B:$B,"&lt;"&amp;(INT($B128)+1)))</f>
        <v/>
      </c>
      <c r="F128" s="19" t="str">
        <f aca="false">IF($A128="","",IF(ISNA(MATCH($H128,Buffers!$AE:$AE,0)),"Not on Buffers",IF(NOT(ISNUMBER($B128)),"Needs a date",IF(INT($B128)&lt;PlanDate,"Past due",IF(INT($B128)=PlanDate,"Due today",IF(AND(INDEX(Buffers!$L:$L,MATCH($H128,Buffers!$AE:$AE,0))="Planned",$E128&gt;0,INT($B128)&lt;=PlanDate+ROUNDUP(IF(ISNUMBER(SpikeHorizon),SpikeHorizon,INDEX(Buffers!$D:$D,MATCH($H128,Buffers!$AE:$AE,0))),0),$E128&gt;=SpikePct*INDEX(Buffers!$P:$P,MATCH($H128,Buffers!$AE:$AE,0))),"Spike","Not qualified"))))))</f>
        <v/>
      </c>
      <c r="G128" s="8" t="str">
        <f aca="false">IF($A128="","",IF(OR($F128="Past due",$F128="Due today",$F128="Spike"),$C128,0))</f>
        <v/>
      </c>
      <c r="H128" s="8" t="str">
        <f aca="false">IF($A128="","",SUBSTITUTE(SUBSTITUTE(SUBSTITUTE($A128&amp;"","~","~~"),"*","~*"),"?","~?"))</f>
        <v/>
      </c>
    </row>
    <row r="129" customFormat="false" ht="15" hidden="false" customHeight="false" outlineLevel="0" collapsed="false">
      <c r="A129" s="11"/>
      <c r="B129" s="6"/>
      <c r="C129" s="11"/>
      <c r="D129" s="11"/>
      <c r="E129" s="8" t="str">
        <f aca="false">IF($A129="","",SUMIFS($C:$C,$A:$A,$H129,$B:$B,"&gt;="&amp;INT($B129),$B:$B,"&lt;"&amp;(INT($B129)+1)))</f>
        <v/>
      </c>
      <c r="F129" s="19" t="str">
        <f aca="false">IF($A129="","",IF(ISNA(MATCH($H129,Buffers!$AE:$AE,0)),"Not on Buffers",IF(NOT(ISNUMBER($B129)),"Needs a date",IF(INT($B129)&lt;PlanDate,"Past due",IF(INT($B129)=PlanDate,"Due today",IF(AND(INDEX(Buffers!$L:$L,MATCH($H129,Buffers!$AE:$AE,0))="Planned",$E129&gt;0,INT($B129)&lt;=PlanDate+ROUNDUP(IF(ISNUMBER(SpikeHorizon),SpikeHorizon,INDEX(Buffers!$D:$D,MATCH($H129,Buffers!$AE:$AE,0))),0),$E129&gt;=SpikePct*INDEX(Buffers!$P:$P,MATCH($H129,Buffers!$AE:$AE,0))),"Spike","Not qualified"))))))</f>
        <v/>
      </c>
      <c r="G129" s="8" t="str">
        <f aca="false">IF($A129="","",IF(OR($F129="Past due",$F129="Due today",$F129="Spike"),$C129,0))</f>
        <v/>
      </c>
      <c r="H129" s="8" t="str">
        <f aca="false">IF($A129="","",SUBSTITUTE(SUBSTITUTE(SUBSTITUTE($A129&amp;"","~","~~"),"*","~*"),"?","~?"))</f>
        <v/>
      </c>
    </row>
    <row r="130" customFormat="false" ht="15" hidden="false" customHeight="false" outlineLevel="0" collapsed="false">
      <c r="A130" s="11"/>
      <c r="B130" s="6"/>
      <c r="C130" s="11"/>
      <c r="D130" s="11"/>
      <c r="E130" s="8" t="str">
        <f aca="false">IF($A130="","",SUMIFS($C:$C,$A:$A,$H130,$B:$B,"&gt;="&amp;INT($B130),$B:$B,"&lt;"&amp;(INT($B130)+1)))</f>
        <v/>
      </c>
      <c r="F130" s="19" t="str">
        <f aca="false">IF($A130="","",IF(ISNA(MATCH($H130,Buffers!$AE:$AE,0)),"Not on Buffers",IF(NOT(ISNUMBER($B130)),"Needs a date",IF(INT($B130)&lt;PlanDate,"Past due",IF(INT($B130)=PlanDate,"Due today",IF(AND(INDEX(Buffers!$L:$L,MATCH($H130,Buffers!$AE:$AE,0))="Planned",$E130&gt;0,INT($B130)&lt;=PlanDate+ROUNDUP(IF(ISNUMBER(SpikeHorizon),SpikeHorizon,INDEX(Buffers!$D:$D,MATCH($H130,Buffers!$AE:$AE,0))),0),$E130&gt;=SpikePct*INDEX(Buffers!$P:$P,MATCH($H130,Buffers!$AE:$AE,0))),"Spike","Not qualified"))))))</f>
        <v/>
      </c>
      <c r="G130" s="8" t="str">
        <f aca="false">IF($A130="","",IF(OR($F130="Past due",$F130="Due today",$F130="Spike"),$C130,0))</f>
        <v/>
      </c>
      <c r="H130" s="8" t="str">
        <f aca="false">IF($A130="","",SUBSTITUTE(SUBSTITUTE(SUBSTITUTE($A130&amp;"","~","~~"),"*","~*"),"?","~?"))</f>
        <v/>
      </c>
    </row>
    <row r="131" customFormat="false" ht="15" hidden="false" customHeight="false" outlineLevel="0" collapsed="false">
      <c r="A131" s="11"/>
      <c r="B131" s="6"/>
      <c r="C131" s="11"/>
      <c r="D131" s="11"/>
      <c r="E131" s="8" t="str">
        <f aca="false">IF($A131="","",SUMIFS($C:$C,$A:$A,$H131,$B:$B,"&gt;="&amp;INT($B131),$B:$B,"&lt;"&amp;(INT($B131)+1)))</f>
        <v/>
      </c>
      <c r="F131" s="19" t="str">
        <f aca="false">IF($A131="","",IF(ISNA(MATCH($H131,Buffers!$AE:$AE,0)),"Not on Buffers",IF(NOT(ISNUMBER($B131)),"Needs a date",IF(INT($B131)&lt;PlanDate,"Past due",IF(INT($B131)=PlanDate,"Due today",IF(AND(INDEX(Buffers!$L:$L,MATCH($H131,Buffers!$AE:$AE,0))="Planned",$E131&gt;0,INT($B131)&lt;=PlanDate+ROUNDUP(IF(ISNUMBER(SpikeHorizon),SpikeHorizon,INDEX(Buffers!$D:$D,MATCH($H131,Buffers!$AE:$AE,0))),0),$E131&gt;=SpikePct*INDEX(Buffers!$P:$P,MATCH($H131,Buffers!$AE:$AE,0))),"Spike","Not qualified"))))))</f>
        <v/>
      </c>
      <c r="G131" s="8" t="str">
        <f aca="false">IF($A131="","",IF(OR($F131="Past due",$F131="Due today",$F131="Spike"),$C131,0))</f>
        <v/>
      </c>
      <c r="H131" s="8" t="str">
        <f aca="false">IF($A131="","",SUBSTITUTE(SUBSTITUTE(SUBSTITUTE($A131&amp;"","~","~~"),"*","~*"),"?","~?"))</f>
        <v/>
      </c>
    </row>
    <row r="132" customFormat="false" ht="15" hidden="false" customHeight="false" outlineLevel="0" collapsed="false">
      <c r="A132" s="11"/>
      <c r="B132" s="6"/>
      <c r="C132" s="11"/>
      <c r="D132" s="11"/>
      <c r="E132" s="8" t="str">
        <f aca="false">IF($A132="","",SUMIFS($C:$C,$A:$A,$H132,$B:$B,"&gt;="&amp;INT($B132),$B:$B,"&lt;"&amp;(INT($B132)+1)))</f>
        <v/>
      </c>
      <c r="F132" s="19" t="str">
        <f aca="false">IF($A132="","",IF(ISNA(MATCH($H132,Buffers!$AE:$AE,0)),"Not on Buffers",IF(NOT(ISNUMBER($B132)),"Needs a date",IF(INT($B132)&lt;PlanDate,"Past due",IF(INT($B132)=PlanDate,"Due today",IF(AND(INDEX(Buffers!$L:$L,MATCH($H132,Buffers!$AE:$AE,0))="Planned",$E132&gt;0,INT($B132)&lt;=PlanDate+ROUNDUP(IF(ISNUMBER(SpikeHorizon),SpikeHorizon,INDEX(Buffers!$D:$D,MATCH($H132,Buffers!$AE:$AE,0))),0),$E132&gt;=SpikePct*INDEX(Buffers!$P:$P,MATCH($H132,Buffers!$AE:$AE,0))),"Spike","Not qualified"))))))</f>
        <v/>
      </c>
      <c r="G132" s="8" t="str">
        <f aca="false">IF($A132="","",IF(OR($F132="Past due",$F132="Due today",$F132="Spike"),$C132,0))</f>
        <v/>
      </c>
      <c r="H132" s="8" t="str">
        <f aca="false">IF($A132="","",SUBSTITUTE(SUBSTITUTE(SUBSTITUTE($A132&amp;"","~","~~"),"*","~*"),"?","~?"))</f>
        <v/>
      </c>
    </row>
    <row r="133" customFormat="false" ht="15" hidden="false" customHeight="false" outlineLevel="0" collapsed="false">
      <c r="A133" s="11"/>
      <c r="B133" s="6"/>
      <c r="C133" s="11"/>
      <c r="D133" s="11"/>
      <c r="E133" s="8" t="str">
        <f aca="false">IF($A133="","",SUMIFS($C:$C,$A:$A,$H133,$B:$B,"&gt;="&amp;INT($B133),$B:$B,"&lt;"&amp;(INT($B133)+1)))</f>
        <v/>
      </c>
      <c r="F133" s="19" t="str">
        <f aca="false">IF($A133="","",IF(ISNA(MATCH($H133,Buffers!$AE:$AE,0)),"Not on Buffers",IF(NOT(ISNUMBER($B133)),"Needs a date",IF(INT($B133)&lt;PlanDate,"Past due",IF(INT($B133)=PlanDate,"Due today",IF(AND(INDEX(Buffers!$L:$L,MATCH($H133,Buffers!$AE:$AE,0))="Planned",$E133&gt;0,INT($B133)&lt;=PlanDate+ROUNDUP(IF(ISNUMBER(SpikeHorizon),SpikeHorizon,INDEX(Buffers!$D:$D,MATCH($H133,Buffers!$AE:$AE,0))),0),$E133&gt;=SpikePct*INDEX(Buffers!$P:$P,MATCH($H133,Buffers!$AE:$AE,0))),"Spike","Not qualified"))))))</f>
        <v/>
      </c>
      <c r="G133" s="8" t="str">
        <f aca="false">IF($A133="","",IF(OR($F133="Past due",$F133="Due today",$F133="Spike"),$C133,0))</f>
        <v/>
      </c>
      <c r="H133" s="8" t="str">
        <f aca="false">IF($A133="","",SUBSTITUTE(SUBSTITUTE(SUBSTITUTE($A133&amp;"","~","~~"),"*","~*"),"?","~?"))</f>
        <v/>
      </c>
    </row>
    <row r="134" customFormat="false" ht="15" hidden="false" customHeight="false" outlineLevel="0" collapsed="false">
      <c r="A134" s="11"/>
      <c r="B134" s="6"/>
      <c r="C134" s="11"/>
      <c r="D134" s="11"/>
      <c r="E134" s="8" t="str">
        <f aca="false">IF($A134="","",SUMIFS($C:$C,$A:$A,$H134,$B:$B,"&gt;="&amp;INT($B134),$B:$B,"&lt;"&amp;(INT($B134)+1)))</f>
        <v/>
      </c>
      <c r="F134" s="19" t="str">
        <f aca="false">IF($A134="","",IF(ISNA(MATCH($H134,Buffers!$AE:$AE,0)),"Not on Buffers",IF(NOT(ISNUMBER($B134)),"Needs a date",IF(INT($B134)&lt;PlanDate,"Past due",IF(INT($B134)=PlanDate,"Due today",IF(AND(INDEX(Buffers!$L:$L,MATCH($H134,Buffers!$AE:$AE,0))="Planned",$E134&gt;0,INT($B134)&lt;=PlanDate+ROUNDUP(IF(ISNUMBER(SpikeHorizon),SpikeHorizon,INDEX(Buffers!$D:$D,MATCH($H134,Buffers!$AE:$AE,0))),0),$E134&gt;=SpikePct*INDEX(Buffers!$P:$P,MATCH($H134,Buffers!$AE:$AE,0))),"Spike","Not qualified"))))))</f>
        <v/>
      </c>
      <c r="G134" s="8" t="str">
        <f aca="false">IF($A134="","",IF(OR($F134="Past due",$F134="Due today",$F134="Spike"),$C134,0))</f>
        <v/>
      </c>
      <c r="H134" s="8" t="str">
        <f aca="false">IF($A134="","",SUBSTITUTE(SUBSTITUTE(SUBSTITUTE($A134&amp;"","~","~~"),"*","~*"),"?","~?"))</f>
        <v/>
      </c>
    </row>
    <row r="135" customFormat="false" ht="15" hidden="false" customHeight="false" outlineLevel="0" collapsed="false">
      <c r="A135" s="11"/>
      <c r="B135" s="6"/>
      <c r="C135" s="11"/>
      <c r="D135" s="11"/>
      <c r="E135" s="8" t="str">
        <f aca="false">IF($A135="","",SUMIFS($C:$C,$A:$A,$H135,$B:$B,"&gt;="&amp;INT($B135),$B:$B,"&lt;"&amp;(INT($B135)+1)))</f>
        <v/>
      </c>
      <c r="F135" s="19" t="str">
        <f aca="false">IF($A135="","",IF(ISNA(MATCH($H135,Buffers!$AE:$AE,0)),"Not on Buffers",IF(NOT(ISNUMBER($B135)),"Needs a date",IF(INT($B135)&lt;PlanDate,"Past due",IF(INT($B135)=PlanDate,"Due today",IF(AND(INDEX(Buffers!$L:$L,MATCH($H135,Buffers!$AE:$AE,0))="Planned",$E135&gt;0,INT($B135)&lt;=PlanDate+ROUNDUP(IF(ISNUMBER(SpikeHorizon),SpikeHorizon,INDEX(Buffers!$D:$D,MATCH($H135,Buffers!$AE:$AE,0))),0),$E135&gt;=SpikePct*INDEX(Buffers!$P:$P,MATCH($H135,Buffers!$AE:$AE,0))),"Spike","Not qualified"))))))</f>
        <v/>
      </c>
      <c r="G135" s="8" t="str">
        <f aca="false">IF($A135="","",IF(OR($F135="Past due",$F135="Due today",$F135="Spike"),$C135,0))</f>
        <v/>
      </c>
      <c r="H135" s="8" t="str">
        <f aca="false">IF($A135="","",SUBSTITUTE(SUBSTITUTE(SUBSTITUTE($A135&amp;"","~","~~"),"*","~*"),"?","~?"))</f>
        <v/>
      </c>
    </row>
    <row r="136" customFormat="false" ht="15" hidden="false" customHeight="false" outlineLevel="0" collapsed="false">
      <c r="A136" s="11"/>
      <c r="B136" s="6"/>
      <c r="C136" s="11"/>
      <c r="D136" s="11"/>
      <c r="E136" s="8" t="str">
        <f aca="false">IF($A136="","",SUMIFS($C:$C,$A:$A,$H136,$B:$B,"&gt;="&amp;INT($B136),$B:$B,"&lt;"&amp;(INT($B136)+1)))</f>
        <v/>
      </c>
      <c r="F136" s="19" t="str">
        <f aca="false">IF($A136="","",IF(ISNA(MATCH($H136,Buffers!$AE:$AE,0)),"Not on Buffers",IF(NOT(ISNUMBER($B136)),"Needs a date",IF(INT($B136)&lt;PlanDate,"Past due",IF(INT($B136)=PlanDate,"Due today",IF(AND(INDEX(Buffers!$L:$L,MATCH($H136,Buffers!$AE:$AE,0))="Planned",$E136&gt;0,INT($B136)&lt;=PlanDate+ROUNDUP(IF(ISNUMBER(SpikeHorizon),SpikeHorizon,INDEX(Buffers!$D:$D,MATCH($H136,Buffers!$AE:$AE,0))),0),$E136&gt;=SpikePct*INDEX(Buffers!$P:$P,MATCH($H136,Buffers!$AE:$AE,0))),"Spike","Not qualified"))))))</f>
        <v/>
      </c>
      <c r="G136" s="8" t="str">
        <f aca="false">IF($A136="","",IF(OR($F136="Past due",$F136="Due today",$F136="Spike"),$C136,0))</f>
        <v/>
      </c>
      <c r="H136" s="8" t="str">
        <f aca="false">IF($A136="","",SUBSTITUTE(SUBSTITUTE(SUBSTITUTE($A136&amp;"","~","~~"),"*","~*"),"?","~?"))</f>
        <v/>
      </c>
    </row>
    <row r="137" customFormat="false" ht="15" hidden="false" customHeight="false" outlineLevel="0" collapsed="false">
      <c r="A137" s="11"/>
      <c r="B137" s="6"/>
      <c r="C137" s="11"/>
      <c r="D137" s="11"/>
      <c r="E137" s="8" t="str">
        <f aca="false">IF($A137="","",SUMIFS($C:$C,$A:$A,$H137,$B:$B,"&gt;="&amp;INT($B137),$B:$B,"&lt;"&amp;(INT($B137)+1)))</f>
        <v/>
      </c>
      <c r="F137" s="19" t="str">
        <f aca="false">IF($A137="","",IF(ISNA(MATCH($H137,Buffers!$AE:$AE,0)),"Not on Buffers",IF(NOT(ISNUMBER($B137)),"Needs a date",IF(INT($B137)&lt;PlanDate,"Past due",IF(INT($B137)=PlanDate,"Due today",IF(AND(INDEX(Buffers!$L:$L,MATCH($H137,Buffers!$AE:$AE,0))="Planned",$E137&gt;0,INT($B137)&lt;=PlanDate+ROUNDUP(IF(ISNUMBER(SpikeHorizon),SpikeHorizon,INDEX(Buffers!$D:$D,MATCH($H137,Buffers!$AE:$AE,0))),0),$E137&gt;=SpikePct*INDEX(Buffers!$P:$P,MATCH($H137,Buffers!$AE:$AE,0))),"Spike","Not qualified"))))))</f>
        <v/>
      </c>
      <c r="G137" s="8" t="str">
        <f aca="false">IF($A137="","",IF(OR($F137="Past due",$F137="Due today",$F137="Spike"),$C137,0))</f>
        <v/>
      </c>
      <c r="H137" s="8" t="str">
        <f aca="false">IF($A137="","",SUBSTITUTE(SUBSTITUTE(SUBSTITUTE($A137&amp;"","~","~~"),"*","~*"),"?","~?"))</f>
        <v/>
      </c>
    </row>
    <row r="138" customFormat="false" ht="15" hidden="false" customHeight="false" outlineLevel="0" collapsed="false">
      <c r="A138" s="11"/>
      <c r="B138" s="6"/>
      <c r="C138" s="11"/>
      <c r="D138" s="11"/>
      <c r="E138" s="8" t="str">
        <f aca="false">IF($A138="","",SUMIFS($C:$C,$A:$A,$H138,$B:$B,"&gt;="&amp;INT($B138),$B:$B,"&lt;"&amp;(INT($B138)+1)))</f>
        <v/>
      </c>
      <c r="F138" s="19" t="str">
        <f aca="false">IF($A138="","",IF(ISNA(MATCH($H138,Buffers!$AE:$AE,0)),"Not on Buffers",IF(NOT(ISNUMBER($B138)),"Needs a date",IF(INT($B138)&lt;PlanDate,"Past due",IF(INT($B138)=PlanDate,"Due today",IF(AND(INDEX(Buffers!$L:$L,MATCH($H138,Buffers!$AE:$AE,0))="Planned",$E138&gt;0,INT($B138)&lt;=PlanDate+ROUNDUP(IF(ISNUMBER(SpikeHorizon),SpikeHorizon,INDEX(Buffers!$D:$D,MATCH($H138,Buffers!$AE:$AE,0))),0),$E138&gt;=SpikePct*INDEX(Buffers!$P:$P,MATCH($H138,Buffers!$AE:$AE,0))),"Spike","Not qualified"))))))</f>
        <v/>
      </c>
      <c r="G138" s="8" t="str">
        <f aca="false">IF($A138="","",IF(OR($F138="Past due",$F138="Due today",$F138="Spike"),$C138,0))</f>
        <v/>
      </c>
      <c r="H138" s="8" t="str">
        <f aca="false">IF($A138="","",SUBSTITUTE(SUBSTITUTE(SUBSTITUTE($A138&amp;"","~","~~"),"*","~*"),"?","~?"))</f>
        <v/>
      </c>
    </row>
    <row r="139" customFormat="false" ht="15" hidden="false" customHeight="false" outlineLevel="0" collapsed="false">
      <c r="A139" s="11"/>
      <c r="B139" s="6"/>
      <c r="C139" s="11"/>
      <c r="D139" s="11"/>
      <c r="E139" s="8" t="str">
        <f aca="false">IF($A139="","",SUMIFS($C:$C,$A:$A,$H139,$B:$B,"&gt;="&amp;INT($B139),$B:$B,"&lt;"&amp;(INT($B139)+1)))</f>
        <v/>
      </c>
      <c r="F139" s="19" t="str">
        <f aca="false">IF($A139="","",IF(ISNA(MATCH($H139,Buffers!$AE:$AE,0)),"Not on Buffers",IF(NOT(ISNUMBER($B139)),"Needs a date",IF(INT($B139)&lt;PlanDate,"Past due",IF(INT($B139)=PlanDate,"Due today",IF(AND(INDEX(Buffers!$L:$L,MATCH($H139,Buffers!$AE:$AE,0))="Planned",$E139&gt;0,INT($B139)&lt;=PlanDate+ROUNDUP(IF(ISNUMBER(SpikeHorizon),SpikeHorizon,INDEX(Buffers!$D:$D,MATCH($H139,Buffers!$AE:$AE,0))),0),$E139&gt;=SpikePct*INDEX(Buffers!$P:$P,MATCH($H139,Buffers!$AE:$AE,0))),"Spike","Not qualified"))))))</f>
        <v/>
      </c>
      <c r="G139" s="8" t="str">
        <f aca="false">IF($A139="","",IF(OR($F139="Past due",$F139="Due today",$F139="Spike"),$C139,0))</f>
        <v/>
      </c>
      <c r="H139" s="8" t="str">
        <f aca="false">IF($A139="","",SUBSTITUTE(SUBSTITUTE(SUBSTITUTE($A139&amp;"","~","~~"),"*","~*"),"?","~?"))</f>
        <v/>
      </c>
    </row>
    <row r="140" customFormat="false" ht="15" hidden="false" customHeight="false" outlineLevel="0" collapsed="false">
      <c r="A140" s="11"/>
      <c r="B140" s="6"/>
      <c r="C140" s="11"/>
      <c r="D140" s="11"/>
      <c r="E140" s="8" t="str">
        <f aca="false">IF($A140="","",SUMIFS($C:$C,$A:$A,$H140,$B:$B,"&gt;="&amp;INT($B140),$B:$B,"&lt;"&amp;(INT($B140)+1)))</f>
        <v/>
      </c>
      <c r="F140" s="19" t="str">
        <f aca="false">IF($A140="","",IF(ISNA(MATCH($H140,Buffers!$AE:$AE,0)),"Not on Buffers",IF(NOT(ISNUMBER($B140)),"Needs a date",IF(INT($B140)&lt;PlanDate,"Past due",IF(INT($B140)=PlanDate,"Due today",IF(AND(INDEX(Buffers!$L:$L,MATCH($H140,Buffers!$AE:$AE,0))="Planned",$E140&gt;0,INT($B140)&lt;=PlanDate+ROUNDUP(IF(ISNUMBER(SpikeHorizon),SpikeHorizon,INDEX(Buffers!$D:$D,MATCH($H140,Buffers!$AE:$AE,0))),0),$E140&gt;=SpikePct*INDEX(Buffers!$P:$P,MATCH($H140,Buffers!$AE:$AE,0))),"Spike","Not qualified"))))))</f>
        <v/>
      </c>
      <c r="G140" s="8" t="str">
        <f aca="false">IF($A140="","",IF(OR($F140="Past due",$F140="Due today",$F140="Spike"),$C140,0))</f>
        <v/>
      </c>
      <c r="H140" s="8" t="str">
        <f aca="false">IF($A140="","",SUBSTITUTE(SUBSTITUTE(SUBSTITUTE($A140&amp;"","~","~~"),"*","~*"),"?","~?"))</f>
        <v/>
      </c>
    </row>
    <row r="141" customFormat="false" ht="15" hidden="false" customHeight="false" outlineLevel="0" collapsed="false">
      <c r="A141" s="11"/>
      <c r="B141" s="6"/>
      <c r="C141" s="11"/>
      <c r="D141" s="11"/>
      <c r="E141" s="8" t="str">
        <f aca="false">IF($A141="","",SUMIFS($C:$C,$A:$A,$H141,$B:$B,"&gt;="&amp;INT($B141),$B:$B,"&lt;"&amp;(INT($B141)+1)))</f>
        <v/>
      </c>
      <c r="F141" s="19" t="str">
        <f aca="false">IF($A141="","",IF(ISNA(MATCH($H141,Buffers!$AE:$AE,0)),"Not on Buffers",IF(NOT(ISNUMBER($B141)),"Needs a date",IF(INT($B141)&lt;PlanDate,"Past due",IF(INT($B141)=PlanDate,"Due today",IF(AND(INDEX(Buffers!$L:$L,MATCH($H141,Buffers!$AE:$AE,0))="Planned",$E141&gt;0,INT($B141)&lt;=PlanDate+ROUNDUP(IF(ISNUMBER(SpikeHorizon),SpikeHorizon,INDEX(Buffers!$D:$D,MATCH($H141,Buffers!$AE:$AE,0))),0),$E141&gt;=SpikePct*INDEX(Buffers!$P:$P,MATCH($H141,Buffers!$AE:$AE,0))),"Spike","Not qualified"))))))</f>
        <v/>
      </c>
      <c r="G141" s="8" t="str">
        <f aca="false">IF($A141="","",IF(OR($F141="Past due",$F141="Due today",$F141="Spike"),$C141,0))</f>
        <v/>
      </c>
      <c r="H141" s="8" t="str">
        <f aca="false">IF($A141="","",SUBSTITUTE(SUBSTITUTE(SUBSTITUTE($A141&amp;"","~","~~"),"*","~*"),"?","~?"))</f>
        <v/>
      </c>
    </row>
    <row r="142" customFormat="false" ht="15" hidden="false" customHeight="false" outlineLevel="0" collapsed="false">
      <c r="A142" s="11"/>
      <c r="B142" s="6"/>
      <c r="C142" s="11"/>
      <c r="D142" s="11"/>
      <c r="E142" s="8" t="str">
        <f aca="false">IF($A142="","",SUMIFS($C:$C,$A:$A,$H142,$B:$B,"&gt;="&amp;INT($B142),$B:$B,"&lt;"&amp;(INT($B142)+1)))</f>
        <v/>
      </c>
      <c r="F142" s="19" t="str">
        <f aca="false">IF($A142="","",IF(ISNA(MATCH($H142,Buffers!$AE:$AE,0)),"Not on Buffers",IF(NOT(ISNUMBER($B142)),"Needs a date",IF(INT($B142)&lt;PlanDate,"Past due",IF(INT($B142)=PlanDate,"Due today",IF(AND(INDEX(Buffers!$L:$L,MATCH($H142,Buffers!$AE:$AE,0))="Planned",$E142&gt;0,INT($B142)&lt;=PlanDate+ROUNDUP(IF(ISNUMBER(SpikeHorizon),SpikeHorizon,INDEX(Buffers!$D:$D,MATCH($H142,Buffers!$AE:$AE,0))),0),$E142&gt;=SpikePct*INDEX(Buffers!$P:$P,MATCH($H142,Buffers!$AE:$AE,0))),"Spike","Not qualified"))))))</f>
        <v/>
      </c>
      <c r="G142" s="8" t="str">
        <f aca="false">IF($A142="","",IF(OR($F142="Past due",$F142="Due today",$F142="Spike"),$C142,0))</f>
        <v/>
      </c>
      <c r="H142" s="8" t="str">
        <f aca="false">IF($A142="","",SUBSTITUTE(SUBSTITUTE(SUBSTITUTE($A142&amp;"","~","~~"),"*","~*"),"?","~?"))</f>
        <v/>
      </c>
    </row>
    <row r="143" customFormat="false" ht="15" hidden="false" customHeight="false" outlineLevel="0" collapsed="false">
      <c r="A143" s="11"/>
      <c r="B143" s="6"/>
      <c r="C143" s="11"/>
      <c r="D143" s="11"/>
      <c r="E143" s="8" t="str">
        <f aca="false">IF($A143="","",SUMIFS($C:$C,$A:$A,$H143,$B:$B,"&gt;="&amp;INT($B143),$B:$B,"&lt;"&amp;(INT($B143)+1)))</f>
        <v/>
      </c>
      <c r="F143" s="19" t="str">
        <f aca="false">IF($A143="","",IF(ISNA(MATCH($H143,Buffers!$AE:$AE,0)),"Not on Buffers",IF(NOT(ISNUMBER($B143)),"Needs a date",IF(INT($B143)&lt;PlanDate,"Past due",IF(INT($B143)=PlanDate,"Due today",IF(AND(INDEX(Buffers!$L:$L,MATCH($H143,Buffers!$AE:$AE,0))="Planned",$E143&gt;0,INT($B143)&lt;=PlanDate+ROUNDUP(IF(ISNUMBER(SpikeHorizon),SpikeHorizon,INDEX(Buffers!$D:$D,MATCH($H143,Buffers!$AE:$AE,0))),0),$E143&gt;=SpikePct*INDEX(Buffers!$P:$P,MATCH($H143,Buffers!$AE:$AE,0))),"Spike","Not qualified"))))))</f>
        <v/>
      </c>
      <c r="G143" s="8" t="str">
        <f aca="false">IF($A143="","",IF(OR($F143="Past due",$F143="Due today",$F143="Spike"),$C143,0))</f>
        <v/>
      </c>
      <c r="H143" s="8" t="str">
        <f aca="false">IF($A143="","",SUBSTITUTE(SUBSTITUTE(SUBSTITUTE($A143&amp;"","~","~~"),"*","~*"),"?","~?"))</f>
        <v/>
      </c>
    </row>
    <row r="144" customFormat="false" ht="15" hidden="false" customHeight="false" outlineLevel="0" collapsed="false">
      <c r="A144" s="11"/>
      <c r="B144" s="6"/>
      <c r="C144" s="11"/>
      <c r="D144" s="11"/>
      <c r="E144" s="8" t="str">
        <f aca="false">IF($A144="","",SUMIFS($C:$C,$A:$A,$H144,$B:$B,"&gt;="&amp;INT($B144),$B:$B,"&lt;"&amp;(INT($B144)+1)))</f>
        <v/>
      </c>
      <c r="F144" s="19" t="str">
        <f aca="false">IF($A144="","",IF(ISNA(MATCH($H144,Buffers!$AE:$AE,0)),"Not on Buffers",IF(NOT(ISNUMBER($B144)),"Needs a date",IF(INT($B144)&lt;PlanDate,"Past due",IF(INT($B144)=PlanDate,"Due today",IF(AND(INDEX(Buffers!$L:$L,MATCH($H144,Buffers!$AE:$AE,0))="Planned",$E144&gt;0,INT($B144)&lt;=PlanDate+ROUNDUP(IF(ISNUMBER(SpikeHorizon),SpikeHorizon,INDEX(Buffers!$D:$D,MATCH($H144,Buffers!$AE:$AE,0))),0),$E144&gt;=SpikePct*INDEX(Buffers!$P:$P,MATCH($H144,Buffers!$AE:$AE,0))),"Spike","Not qualified"))))))</f>
        <v/>
      </c>
      <c r="G144" s="8" t="str">
        <f aca="false">IF($A144="","",IF(OR($F144="Past due",$F144="Due today",$F144="Spike"),$C144,0))</f>
        <v/>
      </c>
      <c r="H144" s="8" t="str">
        <f aca="false">IF($A144="","",SUBSTITUTE(SUBSTITUTE(SUBSTITUTE($A144&amp;"","~","~~"),"*","~*"),"?","~?"))</f>
        <v/>
      </c>
    </row>
    <row r="145" customFormat="false" ht="15" hidden="false" customHeight="false" outlineLevel="0" collapsed="false">
      <c r="A145" s="11"/>
      <c r="B145" s="6"/>
      <c r="C145" s="11"/>
      <c r="D145" s="11"/>
      <c r="E145" s="8" t="str">
        <f aca="false">IF($A145="","",SUMIFS($C:$C,$A:$A,$H145,$B:$B,"&gt;="&amp;INT($B145),$B:$B,"&lt;"&amp;(INT($B145)+1)))</f>
        <v/>
      </c>
      <c r="F145" s="19" t="str">
        <f aca="false">IF($A145="","",IF(ISNA(MATCH($H145,Buffers!$AE:$AE,0)),"Not on Buffers",IF(NOT(ISNUMBER($B145)),"Needs a date",IF(INT($B145)&lt;PlanDate,"Past due",IF(INT($B145)=PlanDate,"Due today",IF(AND(INDEX(Buffers!$L:$L,MATCH($H145,Buffers!$AE:$AE,0))="Planned",$E145&gt;0,INT($B145)&lt;=PlanDate+ROUNDUP(IF(ISNUMBER(SpikeHorizon),SpikeHorizon,INDEX(Buffers!$D:$D,MATCH($H145,Buffers!$AE:$AE,0))),0),$E145&gt;=SpikePct*INDEX(Buffers!$P:$P,MATCH($H145,Buffers!$AE:$AE,0))),"Spike","Not qualified"))))))</f>
        <v/>
      </c>
      <c r="G145" s="8" t="str">
        <f aca="false">IF($A145="","",IF(OR($F145="Past due",$F145="Due today",$F145="Spike"),$C145,0))</f>
        <v/>
      </c>
      <c r="H145" s="8" t="str">
        <f aca="false">IF($A145="","",SUBSTITUTE(SUBSTITUTE(SUBSTITUTE($A145&amp;"","~","~~"),"*","~*"),"?","~?"))</f>
        <v/>
      </c>
    </row>
    <row r="146" customFormat="false" ht="15" hidden="false" customHeight="false" outlineLevel="0" collapsed="false">
      <c r="A146" s="11"/>
      <c r="B146" s="6"/>
      <c r="C146" s="11"/>
      <c r="D146" s="11"/>
      <c r="E146" s="8" t="str">
        <f aca="false">IF($A146="","",SUMIFS($C:$C,$A:$A,$H146,$B:$B,"&gt;="&amp;INT($B146),$B:$B,"&lt;"&amp;(INT($B146)+1)))</f>
        <v/>
      </c>
      <c r="F146" s="19" t="str">
        <f aca="false">IF($A146="","",IF(ISNA(MATCH($H146,Buffers!$AE:$AE,0)),"Not on Buffers",IF(NOT(ISNUMBER($B146)),"Needs a date",IF(INT($B146)&lt;PlanDate,"Past due",IF(INT($B146)=PlanDate,"Due today",IF(AND(INDEX(Buffers!$L:$L,MATCH($H146,Buffers!$AE:$AE,0))="Planned",$E146&gt;0,INT($B146)&lt;=PlanDate+ROUNDUP(IF(ISNUMBER(SpikeHorizon),SpikeHorizon,INDEX(Buffers!$D:$D,MATCH($H146,Buffers!$AE:$AE,0))),0),$E146&gt;=SpikePct*INDEX(Buffers!$P:$P,MATCH($H146,Buffers!$AE:$AE,0))),"Spike","Not qualified"))))))</f>
        <v/>
      </c>
      <c r="G146" s="8" t="str">
        <f aca="false">IF($A146="","",IF(OR($F146="Past due",$F146="Due today",$F146="Spike"),$C146,0))</f>
        <v/>
      </c>
      <c r="H146" s="8" t="str">
        <f aca="false">IF($A146="","",SUBSTITUTE(SUBSTITUTE(SUBSTITUTE($A146&amp;"","~","~~"),"*","~*"),"?","~?"))</f>
        <v/>
      </c>
    </row>
    <row r="147" customFormat="false" ht="15" hidden="false" customHeight="false" outlineLevel="0" collapsed="false">
      <c r="A147" s="11"/>
      <c r="B147" s="6"/>
      <c r="C147" s="11"/>
      <c r="D147" s="11"/>
      <c r="E147" s="8" t="str">
        <f aca="false">IF($A147="","",SUMIFS($C:$C,$A:$A,$H147,$B:$B,"&gt;="&amp;INT($B147),$B:$B,"&lt;"&amp;(INT($B147)+1)))</f>
        <v/>
      </c>
      <c r="F147" s="19" t="str">
        <f aca="false">IF($A147="","",IF(ISNA(MATCH($H147,Buffers!$AE:$AE,0)),"Not on Buffers",IF(NOT(ISNUMBER($B147)),"Needs a date",IF(INT($B147)&lt;PlanDate,"Past due",IF(INT($B147)=PlanDate,"Due today",IF(AND(INDEX(Buffers!$L:$L,MATCH($H147,Buffers!$AE:$AE,0))="Planned",$E147&gt;0,INT($B147)&lt;=PlanDate+ROUNDUP(IF(ISNUMBER(SpikeHorizon),SpikeHorizon,INDEX(Buffers!$D:$D,MATCH($H147,Buffers!$AE:$AE,0))),0),$E147&gt;=SpikePct*INDEX(Buffers!$P:$P,MATCH($H147,Buffers!$AE:$AE,0))),"Spike","Not qualified"))))))</f>
        <v/>
      </c>
      <c r="G147" s="8" t="str">
        <f aca="false">IF($A147="","",IF(OR($F147="Past due",$F147="Due today",$F147="Spike"),$C147,0))</f>
        <v/>
      </c>
      <c r="H147" s="8" t="str">
        <f aca="false">IF($A147="","",SUBSTITUTE(SUBSTITUTE(SUBSTITUTE($A147&amp;"","~","~~"),"*","~*"),"?","~?"))</f>
        <v/>
      </c>
    </row>
    <row r="148" customFormat="false" ht="15" hidden="false" customHeight="false" outlineLevel="0" collapsed="false">
      <c r="A148" s="11"/>
      <c r="B148" s="6"/>
      <c r="C148" s="11"/>
      <c r="D148" s="11"/>
      <c r="E148" s="8" t="str">
        <f aca="false">IF($A148="","",SUMIFS($C:$C,$A:$A,$H148,$B:$B,"&gt;="&amp;INT($B148),$B:$B,"&lt;"&amp;(INT($B148)+1)))</f>
        <v/>
      </c>
      <c r="F148" s="19" t="str">
        <f aca="false">IF($A148="","",IF(ISNA(MATCH($H148,Buffers!$AE:$AE,0)),"Not on Buffers",IF(NOT(ISNUMBER($B148)),"Needs a date",IF(INT($B148)&lt;PlanDate,"Past due",IF(INT($B148)=PlanDate,"Due today",IF(AND(INDEX(Buffers!$L:$L,MATCH($H148,Buffers!$AE:$AE,0))="Planned",$E148&gt;0,INT($B148)&lt;=PlanDate+ROUNDUP(IF(ISNUMBER(SpikeHorizon),SpikeHorizon,INDEX(Buffers!$D:$D,MATCH($H148,Buffers!$AE:$AE,0))),0),$E148&gt;=SpikePct*INDEX(Buffers!$P:$P,MATCH($H148,Buffers!$AE:$AE,0))),"Spike","Not qualified"))))))</f>
        <v/>
      </c>
      <c r="G148" s="8" t="str">
        <f aca="false">IF($A148="","",IF(OR($F148="Past due",$F148="Due today",$F148="Spike"),$C148,0))</f>
        <v/>
      </c>
      <c r="H148" s="8" t="str">
        <f aca="false">IF($A148="","",SUBSTITUTE(SUBSTITUTE(SUBSTITUTE($A148&amp;"","~","~~"),"*","~*"),"?","~?"))</f>
        <v/>
      </c>
    </row>
    <row r="149" customFormat="false" ht="15" hidden="false" customHeight="false" outlineLevel="0" collapsed="false">
      <c r="A149" s="11"/>
      <c r="B149" s="6"/>
      <c r="C149" s="11"/>
      <c r="D149" s="11"/>
      <c r="E149" s="8" t="str">
        <f aca="false">IF($A149="","",SUMIFS($C:$C,$A:$A,$H149,$B:$B,"&gt;="&amp;INT($B149),$B:$B,"&lt;"&amp;(INT($B149)+1)))</f>
        <v/>
      </c>
      <c r="F149" s="19" t="str">
        <f aca="false">IF($A149="","",IF(ISNA(MATCH($H149,Buffers!$AE:$AE,0)),"Not on Buffers",IF(NOT(ISNUMBER($B149)),"Needs a date",IF(INT($B149)&lt;PlanDate,"Past due",IF(INT($B149)=PlanDate,"Due today",IF(AND(INDEX(Buffers!$L:$L,MATCH($H149,Buffers!$AE:$AE,0))="Planned",$E149&gt;0,INT($B149)&lt;=PlanDate+ROUNDUP(IF(ISNUMBER(SpikeHorizon),SpikeHorizon,INDEX(Buffers!$D:$D,MATCH($H149,Buffers!$AE:$AE,0))),0),$E149&gt;=SpikePct*INDEX(Buffers!$P:$P,MATCH($H149,Buffers!$AE:$AE,0))),"Spike","Not qualified"))))))</f>
        <v/>
      </c>
      <c r="G149" s="8" t="str">
        <f aca="false">IF($A149="","",IF(OR($F149="Past due",$F149="Due today",$F149="Spike"),$C149,0))</f>
        <v/>
      </c>
      <c r="H149" s="8" t="str">
        <f aca="false">IF($A149="","",SUBSTITUTE(SUBSTITUTE(SUBSTITUTE($A149&amp;"","~","~~"),"*","~*"),"?","~?"))</f>
        <v/>
      </c>
    </row>
    <row r="150" customFormat="false" ht="15" hidden="false" customHeight="false" outlineLevel="0" collapsed="false">
      <c r="A150" s="11"/>
      <c r="B150" s="6"/>
      <c r="C150" s="11"/>
      <c r="D150" s="11"/>
      <c r="E150" s="8" t="str">
        <f aca="false">IF($A150="","",SUMIFS($C:$C,$A:$A,$H150,$B:$B,"&gt;="&amp;INT($B150),$B:$B,"&lt;"&amp;(INT($B150)+1)))</f>
        <v/>
      </c>
      <c r="F150" s="19" t="str">
        <f aca="false">IF($A150="","",IF(ISNA(MATCH($H150,Buffers!$AE:$AE,0)),"Not on Buffers",IF(NOT(ISNUMBER($B150)),"Needs a date",IF(INT($B150)&lt;PlanDate,"Past due",IF(INT($B150)=PlanDate,"Due today",IF(AND(INDEX(Buffers!$L:$L,MATCH($H150,Buffers!$AE:$AE,0))="Planned",$E150&gt;0,INT($B150)&lt;=PlanDate+ROUNDUP(IF(ISNUMBER(SpikeHorizon),SpikeHorizon,INDEX(Buffers!$D:$D,MATCH($H150,Buffers!$AE:$AE,0))),0),$E150&gt;=SpikePct*INDEX(Buffers!$P:$P,MATCH($H150,Buffers!$AE:$AE,0))),"Spike","Not qualified"))))))</f>
        <v/>
      </c>
      <c r="G150" s="8" t="str">
        <f aca="false">IF($A150="","",IF(OR($F150="Past due",$F150="Due today",$F150="Spike"),$C150,0))</f>
        <v/>
      </c>
      <c r="H150" s="8" t="str">
        <f aca="false">IF($A150="","",SUBSTITUTE(SUBSTITUTE(SUBSTITUTE($A150&amp;"","~","~~"),"*","~*"),"?","~?"))</f>
        <v/>
      </c>
    </row>
    <row r="151" customFormat="false" ht="15" hidden="false" customHeight="false" outlineLevel="0" collapsed="false">
      <c r="A151" s="11"/>
      <c r="B151" s="6"/>
      <c r="C151" s="11"/>
      <c r="D151" s="11"/>
      <c r="E151" s="8" t="str">
        <f aca="false">IF($A151="","",SUMIFS($C:$C,$A:$A,$H151,$B:$B,"&gt;="&amp;INT($B151),$B:$B,"&lt;"&amp;(INT($B151)+1)))</f>
        <v/>
      </c>
      <c r="F151" s="19" t="str">
        <f aca="false">IF($A151="","",IF(ISNA(MATCH($H151,Buffers!$AE:$AE,0)),"Not on Buffers",IF(NOT(ISNUMBER($B151)),"Needs a date",IF(INT($B151)&lt;PlanDate,"Past due",IF(INT($B151)=PlanDate,"Due today",IF(AND(INDEX(Buffers!$L:$L,MATCH($H151,Buffers!$AE:$AE,0))="Planned",$E151&gt;0,INT($B151)&lt;=PlanDate+ROUNDUP(IF(ISNUMBER(SpikeHorizon),SpikeHorizon,INDEX(Buffers!$D:$D,MATCH($H151,Buffers!$AE:$AE,0))),0),$E151&gt;=SpikePct*INDEX(Buffers!$P:$P,MATCH($H151,Buffers!$AE:$AE,0))),"Spike","Not qualified"))))))</f>
        <v/>
      </c>
      <c r="G151" s="8" t="str">
        <f aca="false">IF($A151="","",IF(OR($F151="Past due",$F151="Due today",$F151="Spike"),$C151,0))</f>
        <v/>
      </c>
      <c r="H151" s="8" t="str">
        <f aca="false">IF($A151="","",SUBSTITUTE(SUBSTITUTE(SUBSTITUTE($A151&amp;"","~","~~"),"*","~*"),"?","~?"))</f>
        <v/>
      </c>
    </row>
    <row r="152" customFormat="false" ht="15" hidden="false" customHeight="false" outlineLevel="0" collapsed="false">
      <c r="A152" s="11"/>
      <c r="B152" s="6"/>
      <c r="C152" s="11"/>
      <c r="D152" s="11"/>
      <c r="E152" s="8" t="str">
        <f aca="false">IF($A152="","",SUMIFS($C:$C,$A:$A,$H152,$B:$B,"&gt;="&amp;INT($B152),$B:$B,"&lt;"&amp;(INT($B152)+1)))</f>
        <v/>
      </c>
      <c r="F152" s="19" t="str">
        <f aca="false">IF($A152="","",IF(ISNA(MATCH($H152,Buffers!$AE:$AE,0)),"Not on Buffers",IF(NOT(ISNUMBER($B152)),"Needs a date",IF(INT($B152)&lt;PlanDate,"Past due",IF(INT($B152)=PlanDate,"Due today",IF(AND(INDEX(Buffers!$L:$L,MATCH($H152,Buffers!$AE:$AE,0))="Planned",$E152&gt;0,INT($B152)&lt;=PlanDate+ROUNDUP(IF(ISNUMBER(SpikeHorizon),SpikeHorizon,INDEX(Buffers!$D:$D,MATCH($H152,Buffers!$AE:$AE,0))),0),$E152&gt;=SpikePct*INDEX(Buffers!$P:$P,MATCH($H152,Buffers!$AE:$AE,0))),"Spike","Not qualified"))))))</f>
        <v/>
      </c>
      <c r="G152" s="8" t="str">
        <f aca="false">IF($A152="","",IF(OR($F152="Past due",$F152="Due today",$F152="Spike"),$C152,0))</f>
        <v/>
      </c>
      <c r="H152" s="8" t="str">
        <f aca="false">IF($A152="","",SUBSTITUTE(SUBSTITUTE(SUBSTITUTE($A152&amp;"","~","~~"),"*","~*"),"?","~?"))</f>
        <v/>
      </c>
    </row>
    <row r="153" customFormat="false" ht="15" hidden="false" customHeight="false" outlineLevel="0" collapsed="false">
      <c r="A153" s="11"/>
      <c r="B153" s="6"/>
      <c r="C153" s="11"/>
      <c r="D153" s="11"/>
      <c r="E153" s="8" t="str">
        <f aca="false">IF($A153="","",SUMIFS($C:$C,$A:$A,$H153,$B:$B,"&gt;="&amp;INT($B153),$B:$B,"&lt;"&amp;(INT($B153)+1)))</f>
        <v/>
      </c>
      <c r="F153" s="19" t="str">
        <f aca="false">IF($A153="","",IF(ISNA(MATCH($H153,Buffers!$AE:$AE,0)),"Not on Buffers",IF(NOT(ISNUMBER($B153)),"Needs a date",IF(INT($B153)&lt;PlanDate,"Past due",IF(INT($B153)=PlanDate,"Due today",IF(AND(INDEX(Buffers!$L:$L,MATCH($H153,Buffers!$AE:$AE,0))="Planned",$E153&gt;0,INT($B153)&lt;=PlanDate+ROUNDUP(IF(ISNUMBER(SpikeHorizon),SpikeHorizon,INDEX(Buffers!$D:$D,MATCH($H153,Buffers!$AE:$AE,0))),0),$E153&gt;=SpikePct*INDEX(Buffers!$P:$P,MATCH($H153,Buffers!$AE:$AE,0))),"Spike","Not qualified"))))))</f>
        <v/>
      </c>
      <c r="G153" s="8" t="str">
        <f aca="false">IF($A153="","",IF(OR($F153="Past due",$F153="Due today",$F153="Spike"),$C153,0))</f>
        <v/>
      </c>
      <c r="H153" s="8" t="str">
        <f aca="false">IF($A153="","",SUBSTITUTE(SUBSTITUTE(SUBSTITUTE($A153&amp;"","~","~~"),"*","~*"),"?","~?"))</f>
        <v/>
      </c>
    </row>
    <row r="154" customFormat="false" ht="15" hidden="false" customHeight="false" outlineLevel="0" collapsed="false">
      <c r="A154" s="11"/>
      <c r="B154" s="6"/>
      <c r="C154" s="11"/>
      <c r="D154" s="11"/>
      <c r="E154" s="8" t="str">
        <f aca="false">IF($A154="","",SUMIFS($C:$C,$A:$A,$H154,$B:$B,"&gt;="&amp;INT($B154),$B:$B,"&lt;"&amp;(INT($B154)+1)))</f>
        <v/>
      </c>
      <c r="F154" s="19" t="str">
        <f aca="false">IF($A154="","",IF(ISNA(MATCH($H154,Buffers!$AE:$AE,0)),"Not on Buffers",IF(NOT(ISNUMBER($B154)),"Needs a date",IF(INT($B154)&lt;PlanDate,"Past due",IF(INT($B154)=PlanDate,"Due today",IF(AND(INDEX(Buffers!$L:$L,MATCH($H154,Buffers!$AE:$AE,0))="Planned",$E154&gt;0,INT($B154)&lt;=PlanDate+ROUNDUP(IF(ISNUMBER(SpikeHorizon),SpikeHorizon,INDEX(Buffers!$D:$D,MATCH($H154,Buffers!$AE:$AE,0))),0),$E154&gt;=SpikePct*INDEX(Buffers!$P:$P,MATCH($H154,Buffers!$AE:$AE,0))),"Spike","Not qualified"))))))</f>
        <v/>
      </c>
      <c r="G154" s="8" t="str">
        <f aca="false">IF($A154="","",IF(OR($F154="Past due",$F154="Due today",$F154="Spike"),$C154,0))</f>
        <v/>
      </c>
      <c r="H154" s="8" t="str">
        <f aca="false">IF($A154="","",SUBSTITUTE(SUBSTITUTE(SUBSTITUTE($A154&amp;"","~","~~"),"*","~*"),"?","~?"))</f>
        <v/>
      </c>
    </row>
    <row r="155" customFormat="false" ht="15" hidden="false" customHeight="false" outlineLevel="0" collapsed="false">
      <c r="A155" s="11"/>
      <c r="B155" s="6"/>
      <c r="C155" s="11"/>
      <c r="D155" s="11"/>
      <c r="E155" s="8" t="str">
        <f aca="false">IF($A155="","",SUMIFS($C:$C,$A:$A,$H155,$B:$B,"&gt;="&amp;INT($B155),$B:$B,"&lt;"&amp;(INT($B155)+1)))</f>
        <v/>
      </c>
      <c r="F155" s="19" t="str">
        <f aca="false">IF($A155="","",IF(ISNA(MATCH($H155,Buffers!$AE:$AE,0)),"Not on Buffers",IF(NOT(ISNUMBER($B155)),"Needs a date",IF(INT($B155)&lt;PlanDate,"Past due",IF(INT($B155)=PlanDate,"Due today",IF(AND(INDEX(Buffers!$L:$L,MATCH($H155,Buffers!$AE:$AE,0))="Planned",$E155&gt;0,INT($B155)&lt;=PlanDate+ROUNDUP(IF(ISNUMBER(SpikeHorizon),SpikeHorizon,INDEX(Buffers!$D:$D,MATCH($H155,Buffers!$AE:$AE,0))),0),$E155&gt;=SpikePct*INDEX(Buffers!$P:$P,MATCH($H155,Buffers!$AE:$AE,0))),"Spike","Not qualified"))))))</f>
        <v/>
      </c>
      <c r="G155" s="8" t="str">
        <f aca="false">IF($A155="","",IF(OR($F155="Past due",$F155="Due today",$F155="Spike"),$C155,0))</f>
        <v/>
      </c>
      <c r="H155" s="8" t="str">
        <f aca="false">IF($A155="","",SUBSTITUTE(SUBSTITUTE(SUBSTITUTE($A155&amp;"","~","~~"),"*","~*"),"?","~?"))</f>
        <v/>
      </c>
    </row>
    <row r="156" customFormat="false" ht="15" hidden="false" customHeight="false" outlineLevel="0" collapsed="false">
      <c r="A156" s="11"/>
      <c r="B156" s="6"/>
      <c r="C156" s="11"/>
      <c r="D156" s="11"/>
      <c r="E156" s="8" t="str">
        <f aca="false">IF($A156="","",SUMIFS($C:$C,$A:$A,$H156,$B:$B,"&gt;="&amp;INT($B156),$B:$B,"&lt;"&amp;(INT($B156)+1)))</f>
        <v/>
      </c>
      <c r="F156" s="19" t="str">
        <f aca="false">IF($A156="","",IF(ISNA(MATCH($H156,Buffers!$AE:$AE,0)),"Not on Buffers",IF(NOT(ISNUMBER($B156)),"Needs a date",IF(INT($B156)&lt;PlanDate,"Past due",IF(INT($B156)=PlanDate,"Due today",IF(AND(INDEX(Buffers!$L:$L,MATCH($H156,Buffers!$AE:$AE,0))="Planned",$E156&gt;0,INT($B156)&lt;=PlanDate+ROUNDUP(IF(ISNUMBER(SpikeHorizon),SpikeHorizon,INDEX(Buffers!$D:$D,MATCH($H156,Buffers!$AE:$AE,0))),0),$E156&gt;=SpikePct*INDEX(Buffers!$P:$P,MATCH($H156,Buffers!$AE:$AE,0))),"Spike","Not qualified"))))))</f>
        <v/>
      </c>
      <c r="G156" s="8" t="str">
        <f aca="false">IF($A156="","",IF(OR($F156="Past due",$F156="Due today",$F156="Spike"),$C156,0))</f>
        <v/>
      </c>
      <c r="H156" s="8" t="str">
        <f aca="false">IF($A156="","",SUBSTITUTE(SUBSTITUTE(SUBSTITUTE($A156&amp;"","~","~~"),"*","~*"),"?","~?"))</f>
        <v/>
      </c>
    </row>
    <row r="157" customFormat="false" ht="15" hidden="false" customHeight="false" outlineLevel="0" collapsed="false">
      <c r="A157" s="11"/>
      <c r="B157" s="6"/>
      <c r="C157" s="11"/>
      <c r="D157" s="11"/>
      <c r="E157" s="8" t="str">
        <f aca="false">IF($A157="","",SUMIFS($C:$C,$A:$A,$H157,$B:$B,"&gt;="&amp;INT($B157),$B:$B,"&lt;"&amp;(INT($B157)+1)))</f>
        <v/>
      </c>
      <c r="F157" s="19" t="str">
        <f aca="false">IF($A157="","",IF(ISNA(MATCH($H157,Buffers!$AE:$AE,0)),"Not on Buffers",IF(NOT(ISNUMBER($B157)),"Needs a date",IF(INT($B157)&lt;PlanDate,"Past due",IF(INT($B157)=PlanDate,"Due today",IF(AND(INDEX(Buffers!$L:$L,MATCH($H157,Buffers!$AE:$AE,0))="Planned",$E157&gt;0,INT($B157)&lt;=PlanDate+ROUNDUP(IF(ISNUMBER(SpikeHorizon),SpikeHorizon,INDEX(Buffers!$D:$D,MATCH($H157,Buffers!$AE:$AE,0))),0),$E157&gt;=SpikePct*INDEX(Buffers!$P:$P,MATCH($H157,Buffers!$AE:$AE,0))),"Spike","Not qualified"))))))</f>
        <v/>
      </c>
      <c r="G157" s="8" t="str">
        <f aca="false">IF($A157="","",IF(OR($F157="Past due",$F157="Due today",$F157="Spike"),$C157,0))</f>
        <v/>
      </c>
      <c r="H157" s="8" t="str">
        <f aca="false">IF($A157="","",SUBSTITUTE(SUBSTITUTE(SUBSTITUTE($A157&amp;"","~","~~"),"*","~*"),"?","~?"))</f>
        <v/>
      </c>
    </row>
    <row r="158" customFormat="false" ht="15" hidden="false" customHeight="false" outlineLevel="0" collapsed="false">
      <c r="A158" s="11"/>
      <c r="B158" s="6"/>
      <c r="C158" s="11"/>
      <c r="D158" s="11"/>
      <c r="E158" s="8" t="str">
        <f aca="false">IF($A158="","",SUMIFS($C:$C,$A:$A,$H158,$B:$B,"&gt;="&amp;INT($B158),$B:$B,"&lt;"&amp;(INT($B158)+1)))</f>
        <v/>
      </c>
      <c r="F158" s="19" t="str">
        <f aca="false">IF($A158="","",IF(ISNA(MATCH($H158,Buffers!$AE:$AE,0)),"Not on Buffers",IF(NOT(ISNUMBER($B158)),"Needs a date",IF(INT($B158)&lt;PlanDate,"Past due",IF(INT($B158)=PlanDate,"Due today",IF(AND(INDEX(Buffers!$L:$L,MATCH($H158,Buffers!$AE:$AE,0))="Planned",$E158&gt;0,INT($B158)&lt;=PlanDate+ROUNDUP(IF(ISNUMBER(SpikeHorizon),SpikeHorizon,INDEX(Buffers!$D:$D,MATCH($H158,Buffers!$AE:$AE,0))),0),$E158&gt;=SpikePct*INDEX(Buffers!$P:$P,MATCH($H158,Buffers!$AE:$AE,0))),"Spike","Not qualified"))))))</f>
        <v/>
      </c>
      <c r="G158" s="8" t="str">
        <f aca="false">IF($A158="","",IF(OR($F158="Past due",$F158="Due today",$F158="Spike"),$C158,0))</f>
        <v/>
      </c>
      <c r="H158" s="8" t="str">
        <f aca="false">IF($A158="","",SUBSTITUTE(SUBSTITUTE(SUBSTITUTE($A158&amp;"","~","~~"),"*","~*"),"?","~?"))</f>
        <v/>
      </c>
    </row>
    <row r="159" customFormat="false" ht="15" hidden="false" customHeight="false" outlineLevel="0" collapsed="false">
      <c r="A159" s="11"/>
      <c r="B159" s="6"/>
      <c r="C159" s="11"/>
      <c r="D159" s="11"/>
      <c r="E159" s="8" t="str">
        <f aca="false">IF($A159="","",SUMIFS($C:$C,$A:$A,$H159,$B:$B,"&gt;="&amp;INT($B159),$B:$B,"&lt;"&amp;(INT($B159)+1)))</f>
        <v/>
      </c>
      <c r="F159" s="19" t="str">
        <f aca="false">IF($A159="","",IF(ISNA(MATCH($H159,Buffers!$AE:$AE,0)),"Not on Buffers",IF(NOT(ISNUMBER($B159)),"Needs a date",IF(INT($B159)&lt;PlanDate,"Past due",IF(INT($B159)=PlanDate,"Due today",IF(AND(INDEX(Buffers!$L:$L,MATCH($H159,Buffers!$AE:$AE,0))="Planned",$E159&gt;0,INT($B159)&lt;=PlanDate+ROUNDUP(IF(ISNUMBER(SpikeHorizon),SpikeHorizon,INDEX(Buffers!$D:$D,MATCH($H159,Buffers!$AE:$AE,0))),0),$E159&gt;=SpikePct*INDEX(Buffers!$P:$P,MATCH($H159,Buffers!$AE:$AE,0))),"Spike","Not qualified"))))))</f>
        <v/>
      </c>
      <c r="G159" s="8" t="str">
        <f aca="false">IF($A159="","",IF(OR($F159="Past due",$F159="Due today",$F159="Spike"),$C159,0))</f>
        <v/>
      </c>
      <c r="H159" s="8" t="str">
        <f aca="false">IF($A159="","",SUBSTITUTE(SUBSTITUTE(SUBSTITUTE($A159&amp;"","~","~~"),"*","~*"),"?","~?"))</f>
        <v/>
      </c>
    </row>
    <row r="160" customFormat="false" ht="15" hidden="false" customHeight="false" outlineLevel="0" collapsed="false">
      <c r="A160" s="11"/>
      <c r="B160" s="6"/>
      <c r="C160" s="11"/>
      <c r="D160" s="11"/>
      <c r="E160" s="8" t="str">
        <f aca="false">IF($A160="","",SUMIFS($C:$C,$A:$A,$H160,$B:$B,"&gt;="&amp;INT($B160),$B:$B,"&lt;"&amp;(INT($B160)+1)))</f>
        <v/>
      </c>
      <c r="F160" s="19" t="str">
        <f aca="false">IF($A160="","",IF(ISNA(MATCH($H160,Buffers!$AE:$AE,0)),"Not on Buffers",IF(NOT(ISNUMBER($B160)),"Needs a date",IF(INT($B160)&lt;PlanDate,"Past due",IF(INT($B160)=PlanDate,"Due today",IF(AND(INDEX(Buffers!$L:$L,MATCH($H160,Buffers!$AE:$AE,0))="Planned",$E160&gt;0,INT($B160)&lt;=PlanDate+ROUNDUP(IF(ISNUMBER(SpikeHorizon),SpikeHorizon,INDEX(Buffers!$D:$D,MATCH($H160,Buffers!$AE:$AE,0))),0),$E160&gt;=SpikePct*INDEX(Buffers!$P:$P,MATCH($H160,Buffers!$AE:$AE,0))),"Spike","Not qualified"))))))</f>
        <v/>
      </c>
      <c r="G160" s="8" t="str">
        <f aca="false">IF($A160="","",IF(OR($F160="Past due",$F160="Due today",$F160="Spike"),$C160,0))</f>
        <v/>
      </c>
      <c r="H160" s="8" t="str">
        <f aca="false">IF($A160="","",SUBSTITUTE(SUBSTITUTE(SUBSTITUTE($A160&amp;"","~","~~"),"*","~*"),"?","~?"))</f>
        <v/>
      </c>
    </row>
    <row r="161" customFormat="false" ht="15" hidden="false" customHeight="false" outlineLevel="0" collapsed="false">
      <c r="A161" s="11"/>
      <c r="B161" s="6"/>
      <c r="C161" s="11"/>
      <c r="D161" s="11"/>
      <c r="E161" s="8" t="str">
        <f aca="false">IF($A161="","",SUMIFS($C:$C,$A:$A,$H161,$B:$B,"&gt;="&amp;INT($B161),$B:$B,"&lt;"&amp;(INT($B161)+1)))</f>
        <v/>
      </c>
      <c r="F161" s="19" t="str">
        <f aca="false">IF($A161="","",IF(ISNA(MATCH($H161,Buffers!$AE:$AE,0)),"Not on Buffers",IF(NOT(ISNUMBER($B161)),"Needs a date",IF(INT($B161)&lt;PlanDate,"Past due",IF(INT($B161)=PlanDate,"Due today",IF(AND(INDEX(Buffers!$L:$L,MATCH($H161,Buffers!$AE:$AE,0))="Planned",$E161&gt;0,INT($B161)&lt;=PlanDate+ROUNDUP(IF(ISNUMBER(SpikeHorizon),SpikeHorizon,INDEX(Buffers!$D:$D,MATCH($H161,Buffers!$AE:$AE,0))),0),$E161&gt;=SpikePct*INDEX(Buffers!$P:$P,MATCH($H161,Buffers!$AE:$AE,0))),"Spike","Not qualified"))))))</f>
        <v/>
      </c>
      <c r="G161" s="8" t="str">
        <f aca="false">IF($A161="","",IF(OR($F161="Past due",$F161="Due today",$F161="Spike"),$C161,0))</f>
        <v/>
      </c>
      <c r="H161" s="8" t="str">
        <f aca="false">IF($A161="","",SUBSTITUTE(SUBSTITUTE(SUBSTITUTE($A161&amp;"","~","~~"),"*","~*"),"?","~?"))</f>
        <v/>
      </c>
    </row>
    <row r="162" customFormat="false" ht="15" hidden="false" customHeight="false" outlineLevel="0" collapsed="false">
      <c r="A162" s="11"/>
      <c r="B162" s="6"/>
      <c r="C162" s="11"/>
      <c r="D162" s="11"/>
      <c r="E162" s="8" t="str">
        <f aca="false">IF($A162="","",SUMIFS($C:$C,$A:$A,$H162,$B:$B,"&gt;="&amp;INT($B162),$B:$B,"&lt;"&amp;(INT($B162)+1)))</f>
        <v/>
      </c>
      <c r="F162" s="19" t="str">
        <f aca="false">IF($A162="","",IF(ISNA(MATCH($H162,Buffers!$AE:$AE,0)),"Not on Buffers",IF(NOT(ISNUMBER($B162)),"Needs a date",IF(INT($B162)&lt;PlanDate,"Past due",IF(INT($B162)=PlanDate,"Due today",IF(AND(INDEX(Buffers!$L:$L,MATCH($H162,Buffers!$AE:$AE,0))="Planned",$E162&gt;0,INT($B162)&lt;=PlanDate+ROUNDUP(IF(ISNUMBER(SpikeHorizon),SpikeHorizon,INDEX(Buffers!$D:$D,MATCH($H162,Buffers!$AE:$AE,0))),0),$E162&gt;=SpikePct*INDEX(Buffers!$P:$P,MATCH($H162,Buffers!$AE:$AE,0))),"Spike","Not qualified"))))))</f>
        <v/>
      </c>
      <c r="G162" s="8" t="str">
        <f aca="false">IF($A162="","",IF(OR($F162="Past due",$F162="Due today",$F162="Spike"),$C162,0))</f>
        <v/>
      </c>
      <c r="H162" s="8" t="str">
        <f aca="false">IF($A162="","",SUBSTITUTE(SUBSTITUTE(SUBSTITUTE($A162&amp;"","~","~~"),"*","~*"),"?","~?"))</f>
        <v/>
      </c>
    </row>
    <row r="163" customFormat="false" ht="15" hidden="false" customHeight="false" outlineLevel="0" collapsed="false">
      <c r="A163" s="11"/>
      <c r="B163" s="6"/>
      <c r="C163" s="11"/>
      <c r="D163" s="11"/>
      <c r="E163" s="8" t="str">
        <f aca="false">IF($A163="","",SUMIFS($C:$C,$A:$A,$H163,$B:$B,"&gt;="&amp;INT($B163),$B:$B,"&lt;"&amp;(INT($B163)+1)))</f>
        <v/>
      </c>
      <c r="F163" s="19" t="str">
        <f aca="false">IF($A163="","",IF(ISNA(MATCH($H163,Buffers!$AE:$AE,0)),"Not on Buffers",IF(NOT(ISNUMBER($B163)),"Needs a date",IF(INT($B163)&lt;PlanDate,"Past due",IF(INT($B163)=PlanDate,"Due today",IF(AND(INDEX(Buffers!$L:$L,MATCH($H163,Buffers!$AE:$AE,0))="Planned",$E163&gt;0,INT($B163)&lt;=PlanDate+ROUNDUP(IF(ISNUMBER(SpikeHorizon),SpikeHorizon,INDEX(Buffers!$D:$D,MATCH($H163,Buffers!$AE:$AE,0))),0),$E163&gt;=SpikePct*INDEX(Buffers!$P:$P,MATCH($H163,Buffers!$AE:$AE,0))),"Spike","Not qualified"))))))</f>
        <v/>
      </c>
      <c r="G163" s="8" t="str">
        <f aca="false">IF($A163="","",IF(OR($F163="Past due",$F163="Due today",$F163="Spike"),$C163,0))</f>
        <v/>
      </c>
      <c r="H163" s="8" t="str">
        <f aca="false">IF($A163="","",SUBSTITUTE(SUBSTITUTE(SUBSTITUTE($A163&amp;"","~","~~"),"*","~*"),"?","~?"))</f>
        <v/>
      </c>
    </row>
    <row r="164" customFormat="false" ht="15" hidden="false" customHeight="false" outlineLevel="0" collapsed="false">
      <c r="A164" s="11"/>
      <c r="B164" s="6"/>
      <c r="C164" s="11"/>
      <c r="D164" s="11"/>
      <c r="E164" s="8" t="str">
        <f aca="false">IF($A164="","",SUMIFS($C:$C,$A:$A,$H164,$B:$B,"&gt;="&amp;INT($B164),$B:$B,"&lt;"&amp;(INT($B164)+1)))</f>
        <v/>
      </c>
      <c r="F164" s="19" t="str">
        <f aca="false">IF($A164="","",IF(ISNA(MATCH($H164,Buffers!$AE:$AE,0)),"Not on Buffers",IF(NOT(ISNUMBER($B164)),"Needs a date",IF(INT($B164)&lt;PlanDate,"Past due",IF(INT($B164)=PlanDate,"Due today",IF(AND(INDEX(Buffers!$L:$L,MATCH($H164,Buffers!$AE:$AE,0))="Planned",$E164&gt;0,INT($B164)&lt;=PlanDate+ROUNDUP(IF(ISNUMBER(SpikeHorizon),SpikeHorizon,INDEX(Buffers!$D:$D,MATCH($H164,Buffers!$AE:$AE,0))),0),$E164&gt;=SpikePct*INDEX(Buffers!$P:$P,MATCH($H164,Buffers!$AE:$AE,0))),"Spike","Not qualified"))))))</f>
        <v/>
      </c>
      <c r="G164" s="8" t="str">
        <f aca="false">IF($A164="","",IF(OR($F164="Past due",$F164="Due today",$F164="Spike"),$C164,0))</f>
        <v/>
      </c>
      <c r="H164" s="8" t="str">
        <f aca="false">IF($A164="","",SUBSTITUTE(SUBSTITUTE(SUBSTITUTE($A164&amp;"","~","~~"),"*","~*"),"?","~?"))</f>
        <v/>
      </c>
    </row>
    <row r="165" customFormat="false" ht="15" hidden="false" customHeight="false" outlineLevel="0" collapsed="false">
      <c r="A165" s="11"/>
      <c r="B165" s="6"/>
      <c r="C165" s="11"/>
      <c r="D165" s="11"/>
      <c r="E165" s="8" t="str">
        <f aca="false">IF($A165="","",SUMIFS($C:$C,$A:$A,$H165,$B:$B,"&gt;="&amp;INT($B165),$B:$B,"&lt;"&amp;(INT($B165)+1)))</f>
        <v/>
      </c>
      <c r="F165" s="19" t="str">
        <f aca="false">IF($A165="","",IF(ISNA(MATCH($H165,Buffers!$AE:$AE,0)),"Not on Buffers",IF(NOT(ISNUMBER($B165)),"Needs a date",IF(INT($B165)&lt;PlanDate,"Past due",IF(INT($B165)=PlanDate,"Due today",IF(AND(INDEX(Buffers!$L:$L,MATCH($H165,Buffers!$AE:$AE,0))="Planned",$E165&gt;0,INT($B165)&lt;=PlanDate+ROUNDUP(IF(ISNUMBER(SpikeHorizon),SpikeHorizon,INDEX(Buffers!$D:$D,MATCH($H165,Buffers!$AE:$AE,0))),0),$E165&gt;=SpikePct*INDEX(Buffers!$P:$P,MATCH($H165,Buffers!$AE:$AE,0))),"Spike","Not qualified"))))))</f>
        <v/>
      </c>
      <c r="G165" s="8" t="str">
        <f aca="false">IF($A165="","",IF(OR($F165="Past due",$F165="Due today",$F165="Spike"),$C165,0))</f>
        <v/>
      </c>
      <c r="H165" s="8" t="str">
        <f aca="false">IF($A165="","",SUBSTITUTE(SUBSTITUTE(SUBSTITUTE($A165&amp;"","~","~~"),"*","~*"),"?","~?"))</f>
        <v/>
      </c>
    </row>
    <row r="166" customFormat="false" ht="15" hidden="false" customHeight="false" outlineLevel="0" collapsed="false">
      <c r="A166" s="11"/>
      <c r="B166" s="6"/>
      <c r="C166" s="11"/>
      <c r="D166" s="11"/>
      <c r="E166" s="8" t="str">
        <f aca="false">IF($A166="","",SUMIFS($C:$C,$A:$A,$H166,$B:$B,"&gt;="&amp;INT($B166),$B:$B,"&lt;"&amp;(INT($B166)+1)))</f>
        <v/>
      </c>
      <c r="F166" s="19" t="str">
        <f aca="false">IF($A166="","",IF(ISNA(MATCH($H166,Buffers!$AE:$AE,0)),"Not on Buffers",IF(NOT(ISNUMBER($B166)),"Needs a date",IF(INT($B166)&lt;PlanDate,"Past due",IF(INT($B166)=PlanDate,"Due today",IF(AND(INDEX(Buffers!$L:$L,MATCH($H166,Buffers!$AE:$AE,0))="Planned",$E166&gt;0,INT($B166)&lt;=PlanDate+ROUNDUP(IF(ISNUMBER(SpikeHorizon),SpikeHorizon,INDEX(Buffers!$D:$D,MATCH($H166,Buffers!$AE:$AE,0))),0),$E166&gt;=SpikePct*INDEX(Buffers!$P:$P,MATCH($H166,Buffers!$AE:$AE,0))),"Spike","Not qualified"))))))</f>
        <v/>
      </c>
      <c r="G166" s="8" t="str">
        <f aca="false">IF($A166="","",IF(OR($F166="Past due",$F166="Due today",$F166="Spike"),$C166,0))</f>
        <v/>
      </c>
      <c r="H166" s="8" t="str">
        <f aca="false">IF($A166="","",SUBSTITUTE(SUBSTITUTE(SUBSTITUTE($A166&amp;"","~","~~"),"*","~*"),"?","~?"))</f>
        <v/>
      </c>
    </row>
    <row r="167" customFormat="false" ht="15" hidden="false" customHeight="false" outlineLevel="0" collapsed="false">
      <c r="A167" s="11"/>
      <c r="B167" s="6"/>
      <c r="C167" s="11"/>
      <c r="D167" s="11"/>
      <c r="E167" s="8" t="str">
        <f aca="false">IF($A167="","",SUMIFS($C:$C,$A:$A,$H167,$B:$B,"&gt;="&amp;INT($B167),$B:$B,"&lt;"&amp;(INT($B167)+1)))</f>
        <v/>
      </c>
      <c r="F167" s="19" t="str">
        <f aca="false">IF($A167="","",IF(ISNA(MATCH($H167,Buffers!$AE:$AE,0)),"Not on Buffers",IF(NOT(ISNUMBER($B167)),"Needs a date",IF(INT($B167)&lt;PlanDate,"Past due",IF(INT($B167)=PlanDate,"Due today",IF(AND(INDEX(Buffers!$L:$L,MATCH($H167,Buffers!$AE:$AE,0))="Planned",$E167&gt;0,INT($B167)&lt;=PlanDate+ROUNDUP(IF(ISNUMBER(SpikeHorizon),SpikeHorizon,INDEX(Buffers!$D:$D,MATCH($H167,Buffers!$AE:$AE,0))),0),$E167&gt;=SpikePct*INDEX(Buffers!$P:$P,MATCH($H167,Buffers!$AE:$AE,0))),"Spike","Not qualified"))))))</f>
        <v/>
      </c>
      <c r="G167" s="8" t="str">
        <f aca="false">IF($A167="","",IF(OR($F167="Past due",$F167="Due today",$F167="Spike"),$C167,0))</f>
        <v/>
      </c>
      <c r="H167" s="8" t="str">
        <f aca="false">IF($A167="","",SUBSTITUTE(SUBSTITUTE(SUBSTITUTE($A167&amp;"","~","~~"),"*","~*"),"?","~?"))</f>
        <v/>
      </c>
    </row>
    <row r="168" customFormat="false" ht="15" hidden="false" customHeight="false" outlineLevel="0" collapsed="false">
      <c r="A168" s="11"/>
      <c r="B168" s="6"/>
      <c r="C168" s="11"/>
      <c r="D168" s="11"/>
      <c r="E168" s="8" t="str">
        <f aca="false">IF($A168="","",SUMIFS($C:$C,$A:$A,$H168,$B:$B,"&gt;="&amp;INT($B168),$B:$B,"&lt;"&amp;(INT($B168)+1)))</f>
        <v/>
      </c>
      <c r="F168" s="19" t="str">
        <f aca="false">IF($A168="","",IF(ISNA(MATCH($H168,Buffers!$AE:$AE,0)),"Not on Buffers",IF(NOT(ISNUMBER($B168)),"Needs a date",IF(INT($B168)&lt;PlanDate,"Past due",IF(INT($B168)=PlanDate,"Due today",IF(AND(INDEX(Buffers!$L:$L,MATCH($H168,Buffers!$AE:$AE,0))="Planned",$E168&gt;0,INT($B168)&lt;=PlanDate+ROUNDUP(IF(ISNUMBER(SpikeHorizon),SpikeHorizon,INDEX(Buffers!$D:$D,MATCH($H168,Buffers!$AE:$AE,0))),0),$E168&gt;=SpikePct*INDEX(Buffers!$P:$P,MATCH($H168,Buffers!$AE:$AE,0))),"Spike","Not qualified"))))))</f>
        <v/>
      </c>
      <c r="G168" s="8" t="str">
        <f aca="false">IF($A168="","",IF(OR($F168="Past due",$F168="Due today",$F168="Spike"),$C168,0))</f>
        <v/>
      </c>
      <c r="H168" s="8" t="str">
        <f aca="false">IF($A168="","",SUBSTITUTE(SUBSTITUTE(SUBSTITUTE($A168&amp;"","~","~~"),"*","~*"),"?","~?"))</f>
        <v/>
      </c>
    </row>
    <row r="169" customFormat="false" ht="15" hidden="false" customHeight="false" outlineLevel="0" collapsed="false">
      <c r="A169" s="11"/>
      <c r="B169" s="6"/>
      <c r="C169" s="11"/>
      <c r="D169" s="11"/>
      <c r="E169" s="8" t="str">
        <f aca="false">IF($A169="","",SUMIFS($C:$C,$A:$A,$H169,$B:$B,"&gt;="&amp;INT($B169),$B:$B,"&lt;"&amp;(INT($B169)+1)))</f>
        <v/>
      </c>
      <c r="F169" s="19" t="str">
        <f aca="false">IF($A169="","",IF(ISNA(MATCH($H169,Buffers!$AE:$AE,0)),"Not on Buffers",IF(NOT(ISNUMBER($B169)),"Needs a date",IF(INT($B169)&lt;PlanDate,"Past due",IF(INT($B169)=PlanDate,"Due today",IF(AND(INDEX(Buffers!$L:$L,MATCH($H169,Buffers!$AE:$AE,0))="Planned",$E169&gt;0,INT($B169)&lt;=PlanDate+ROUNDUP(IF(ISNUMBER(SpikeHorizon),SpikeHorizon,INDEX(Buffers!$D:$D,MATCH($H169,Buffers!$AE:$AE,0))),0),$E169&gt;=SpikePct*INDEX(Buffers!$P:$P,MATCH($H169,Buffers!$AE:$AE,0))),"Spike","Not qualified"))))))</f>
        <v/>
      </c>
      <c r="G169" s="8" t="str">
        <f aca="false">IF($A169="","",IF(OR($F169="Past due",$F169="Due today",$F169="Spike"),$C169,0))</f>
        <v/>
      </c>
      <c r="H169" s="8" t="str">
        <f aca="false">IF($A169="","",SUBSTITUTE(SUBSTITUTE(SUBSTITUTE($A169&amp;"","~","~~"),"*","~*"),"?","~?"))</f>
        <v/>
      </c>
    </row>
    <row r="170" customFormat="false" ht="15" hidden="false" customHeight="false" outlineLevel="0" collapsed="false">
      <c r="A170" s="11"/>
      <c r="B170" s="6"/>
      <c r="C170" s="11"/>
      <c r="D170" s="11"/>
      <c r="E170" s="8" t="str">
        <f aca="false">IF($A170="","",SUMIFS($C:$C,$A:$A,$H170,$B:$B,"&gt;="&amp;INT($B170),$B:$B,"&lt;"&amp;(INT($B170)+1)))</f>
        <v/>
      </c>
      <c r="F170" s="19" t="str">
        <f aca="false">IF($A170="","",IF(ISNA(MATCH($H170,Buffers!$AE:$AE,0)),"Not on Buffers",IF(NOT(ISNUMBER($B170)),"Needs a date",IF(INT($B170)&lt;PlanDate,"Past due",IF(INT($B170)=PlanDate,"Due today",IF(AND(INDEX(Buffers!$L:$L,MATCH($H170,Buffers!$AE:$AE,0))="Planned",$E170&gt;0,INT($B170)&lt;=PlanDate+ROUNDUP(IF(ISNUMBER(SpikeHorizon),SpikeHorizon,INDEX(Buffers!$D:$D,MATCH($H170,Buffers!$AE:$AE,0))),0),$E170&gt;=SpikePct*INDEX(Buffers!$P:$P,MATCH($H170,Buffers!$AE:$AE,0))),"Spike","Not qualified"))))))</f>
        <v/>
      </c>
      <c r="G170" s="8" t="str">
        <f aca="false">IF($A170="","",IF(OR($F170="Past due",$F170="Due today",$F170="Spike"),$C170,0))</f>
        <v/>
      </c>
      <c r="H170" s="8" t="str">
        <f aca="false">IF($A170="","",SUBSTITUTE(SUBSTITUTE(SUBSTITUTE($A170&amp;"","~","~~"),"*","~*"),"?","~?"))</f>
        <v/>
      </c>
    </row>
    <row r="171" customFormat="false" ht="15" hidden="false" customHeight="false" outlineLevel="0" collapsed="false">
      <c r="A171" s="11"/>
      <c r="B171" s="6"/>
      <c r="C171" s="11"/>
      <c r="D171" s="11"/>
      <c r="E171" s="8" t="str">
        <f aca="false">IF($A171="","",SUMIFS($C:$C,$A:$A,$H171,$B:$B,"&gt;="&amp;INT($B171),$B:$B,"&lt;"&amp;(INT($B171)+1)))</f>
        <v/>
      </c>
      <c r="F171" s="19" t="str">
        <f aca="false">IF($A171="","",IF(ISNA(MATCH($H171,Buffers!$AE:$AE,0)),"Not on Buffers",IF(NOT(ISNUMBER($B171)),"Needs a date",IF(INT($B171)&lt;PlanDate,"Past due",IF(INT($B171)=PlanDate,"Due today",IF(AND(INDEX(Buffers!$L:$L,MATCH($H171,Buffers!$AE:$AE,0))="Planned",$E171&gt;0,INT($B171)&lt;=PlanDate+ROUNDUP(IF(ISNUMBER(SpikeHorizon),SpikeHorizon,INDEX(Buffers!$D:$D,MATCH($H171,Buffers!$AE:$AE,0))),0),$E171&gt;=SpikePct*INDEX(Buffers!$P:$P,MATCH($H171,Buffers!$AE:$AE,0))),"Spike","Not qualified"))))))</f>
        <v/>
      </c>
      <c r="G171" s="8" t="str">
        <f aca="false">IF($A171="","",IF(OR($F171="Past due",$F171="Due today",$F171="Spike"),$C171,0))</f>
        <v/>
      </c>
      <c r="H171" s="8" t="str">
        <f aca="false">IF($A171="","",SUBSTITUTE(SUBSTITUTE(SUBSTITUTE($A171&amp;"","~","~~"),"*","~*"),"?","~?"))</f>
        <v/>
      </c>
    </row>
    <row r="172" customFormat="false" ht="15" hidden="false" customHeight="false" outlineLevel="0" collapsed="false">
      <c r="A172" s="11"/>
      <c r="B172" s="6"/>
      <c r="C172" s="11"/>
      <c r="D172" s="11"/>
      <c r="E172" s="8" t="str">
        <f aca="false">IF($A172="","",SUMIFS($C:$C,$A:$A,$H172,$B:$B,"&gt;="&amp;INT($B172),$B:$B,"&lt;"&amp;(INT($B172)+1)))</f>
        <v/>
      </c>
      <c r="F172" s="19" t="str">
        <f aca="false">IF($A172="","",IF(ISNA(MATCH($H172,Buffers!$AE:$AE,0)),"Not on Buffers",IF(NOT(ISNUMBER($B172)),"Needs a date",IF(INT($B172)&lt;PlanDate,"Past due",IF(INT($B172)=PlanDate,"Due today",IF(AND(INDEX(Buffers!$L:$L,MATCH($H172,Buffers!$AE:$AE,0))="Planned",$E172&gt;0,INT($B172)&lt;=PlanDate+ROUNDUP(IF(ISNUMBER(SpikeHorizon),SpikeHorizon,INDEX(Buffers!$D:$D,MATCH($H172,Buffers!$AE:$AE,0))),0),$E172&gt;=SpikePct*INDEX(Buffers!$P:$P,MATCH($H172,Buffers!$AE:$AE,0))),"Spike","Not qualified"))))))</f>
        <v/>
      </c>
      <c r="G172" s="8" t="str">
        <f aca="false">IF($A172="","",IF(OR($F172="Past due",$F172="Due today",$F172="Spike"),$C172,0))</f>
        <v/>
      </c>
      <c r="H172" s="8" t="str">
        <f aca="false">IF($A172="","",SUBSTITUTE(SUBSTITUTE(SUBSTITUTE($A172&amp;"","~","~~"),"*","~*"),"?","~?"))</f>
        <v/>
      </c>
    </row>
    <row r="173" customFormat="false" ht="15" hidden="false" customHeight="false" outlineLevel="0" collapsed="false">
      <c r="A173" s="11"/>
      <c r="B173" s="6"/>
      <c r="C173" s="11"/>
      <c r="D173" s="11"/>
      <c r="E173" s="8" t="str">
        <f aca="false">IF($A173="","",SUMIFS($C:$C,$A:$A,$H173,$B:$B,"&gt;="&amp;INT($B173),$B:$B,"&lt;"&amp;(INT($B173)+1)))</f>
        <v/>
      </c>
      <c r="F173" s="19" t="str">
        <f aca="false">IF($A173="","",IF(ISNA(MATCH($H173,Buffers!$AE:$AE,0)),"Not on Buffers",IF(NOT(ISNUMBER($B173)),"Needs a date",IF(INT($B173)&lt;PlanDate,"Past due",IF(INT($B173)=PlanDate,"Due today",IF(AND(INDEX(Buffers!$L:$L,MATCH($H173,Buffers!$AE:$AE,0))="Planned",$E173&gt;0,INT($B173)&lt;=PlanDate+ROUNDUP(IF(ISNUMBER(SpikeHorizon),SpikeHorizon,INDEX(Buffers!$D:$D,MATCH($H173,Buffers!$AE:$AE,0))),0),$E173&gt;=SpikePct*INDEX(Buffers!$P:$P,MATCH($H173,Buffers!$AE:$AE,0))),"Spike","Not qualified"))))))</f>
        <v/>
      </c>
      <c r="G173" s="8" t="str">
        <f aca="false">IF($A173="","",IF(OR($F173="Past due",$F173="Due today",$F173="Spike"),$C173,0))</f>
        <v/>
      </c>
      <c r="H173" s="8" t="str">
        <f aca="false">IF($A173="","",SUBSTITUTE(SUBSTITUTE(SUBSTITUTE($A173&amp;"","~","~~"),"*","~*"),"?","~?"))</f>
        <v/>
      </c>
    </row>
    <row r="174" customFormat="false" ht="15" hidden="false" customHeight="false" outlineLevel="0" collapsed="false">
      <c r="A174" s="11"/>
      <c r="B174" s="6"/>
      <c r="C174" s="11"/>
      <c r="D174" s="11"/>
      <c r="E174" s="8" t="str">
        <f aca="false">IF($A174="","",SUMIFS($C:$C,$A:$A,$H174,$B:$B,"&gt;="&amp;INT($B174),$B:$B,"&lt;"&amp;(INT($B174)+1)))</f>
        <v/>
      </c>
      <c r="F174" s="19" t="str">
        <f aca="false">IF($A174="","",IF(ISNA(MATCH($H174,Buffers!$AE:$AE,0)),"Not on Buffers",IF(NOT(ISNUMBER($B174)),"Needs a date",IF(INT($B174)&lt;PlanDate,"Past due",IF(INT($B174)=PlanDate,"Due today",IF(AND(INDEX(Buffers!$L:$L,MATCH($H174,Buffers!$AE:$AE,0))="Planned",$E174&gt;0,INT($B174)&lt;=PlanDate+ROUNDUP(IF(ISNUMBER(SpikeHorizon),SpikeHorizon,INDEX(Buffers!$D:$D,MATCH($H174,Buffers!$AE:$AE,0))),0),$E174&gt;=SpikePct*INDEX(Buffers!$P:$P,MATCH($H174,Buffers!$AE:$AE,0))),"Spike","Not qualified"))))))</f>
        <v/>
      </c>
      <c r="G174" s="8" t="str">
        <f aca="false">IF($A174="","",IF(OR($F174="Past due",$F174="Due today",$F174="Spike"),$C174,0))</f>
        <v/>
      </c>
      <c r="H174" s="8" t="str">
        <f aca="false">IF($A174="","",SUBSTITUTE(SUBSTITUTE(SUBSTITUTE($A174&amp;"","~","~~"),"*","~*"),"?","~?"))</f>
        <v/>
      </c>
    </row>
    <row r="175" customFormat="false" ht="15" hidden="false" customHeight="false" outlineLevel="0" collapsed="false">
      <c r="A175" s="11"/>
      <c r="B175" s="6"/>
      <c r="C175" s="11"/>
      <c r="D175" s="11"/>
      <c r="E175" s="8" t="str">
        <f aca="false">IF($A175="","",SUMIFS($C:$C,$A:$A,$H175,$B:$B,"&gt;="&amp;INT($B175),$B:$B,"&lt;"&amp;(INT($B175)+1)))</f>
        <v/>
      </c>
      <c r="F175" s="19" t="str">
        <f aca="false">IF($A175="","",IF(ISNA(MATCH($H175,Buffers!$AE:$AE,0)),"Not on Buffers",IF(NOT(ISNUMBER($B175)),"Needs a date",IF(INT($B175)&lt;PlanDate,"Past due",IF(INT($B175)=PlanDate,"Due today",IF(AND(INDEX(Buffers!$L:$L,MATCH($H175,Buffers!$AE:$AE,0))="Planned",$E175&gt;0,INT($B175)&lt;=PlanDate+ROUNDUP(IF(ISNUMBER(SpikeHorizon),SpikeHorizon,INDEX(Buffers!$D:$D,MATCH($H175,Buffers!$AE:$AE,0))),0),$E175&gt;=SpikePct*INDEX(Buffers!$P:$P,MATCH($H175,Buffers!$AE:$AE,0))),"Spike","Not qualified"))))))</f>
        <v/>
      </c>
      <c r="G175" s="8" t="str">
        <f aca="false">IF($A175="","",IF(OR($F175="Past due",$F175="Due today",$F175="Spike"),$C175,0))</f>
        <v/>
      </c>
      <c r="H175" s="8" t="str">
        <f aca="false">IF($A175="","",SUBSTITUTE(SUBSTITUTE(SUBSTITUTE($A175&amp;"","~","~~"),"*","~*"),"?","~?"))</f>
        <v/>
      </c>
    </row>
    <row r="176" customFormat="false" ht="15" hidden="false" customHeight="false" outlineLevel="0" collapsed="false">
      <c r="A176" s="11"/>
      <c r="B176" s="6"/>
      <c r="C176" s="11"/>
      <c r="D176" s="11"/>
      <c r="E176" s="8" t="str">
        <f aca="false">IF($A176="","",SUMIFS($C:$C,$A:$A,$H176,$B:$B,"&gt;="&amp;INT($B176),$B:$B,"&lt;"&amp;(INT($B176)+1)))</f>
        <v/>
      </c>
      <c r="F176" s="19" t="str">
        <f aca="false">IF($A176="","",IF(ISNA(MATCH($H176,Buffers!$AE:$AE,0)),"Not on Buffers",IF(NOT(ISNUMBER($B176)),"Needs a date",IF(INT($B176)&lt;PlanDate,"Past due",IF(INT($B176)=PlanDate,"Due today",IF(AND(INDEX(Buffers!$L:$L,MATCH($H176,Buffers!$AE:$AE,0))="Planned",$E176&gt;0,INT($B176)&lt;=PlanDate+ROUNDUP(IF(ISNUMBER(SpikeHorizon),SpikeHorizon,INDEX(Buffers!$D:$D,MATCH($H176,Buffers!$AE:$AE,0))),0),$E176&gt;=SpikePct*INDEX(Buffers!$P:$P,MATCH($H176,Buffers!$AE:$AE,0))),"Spike","Not qualified"))))))</f>
        <v/>
      </c>
      <c r="G176" s="8" t="str">
        <f aca="false">IF($A176="","",IF(OR($F176="Past due",$F176="Due today",$F176="Spike"),$C176,0))</f>
        <v/>
      </c>
      <c r="H176" s="8" t="str">
        <f aca="false">IF($A176="","",SUBSTITUTE(SUBSTITUTE(SUBSTITUTE($A176&amp;"","~","~~"),"*","~*"),"?","~?"))</f>
        <v/>
      </c>
    </row>
    <row r="177" customFormat="false" ht="15" hidden="false" customHeight="false" outlineLevel="0" collapsed="false">
      <c r="A177" s="11"/>
      <c r="B177" s="6"/>
      <c r="C177" s="11"/>
      <c r="D177" s="11"/>
      <c r="E177" s="8" t="str">
        <f aca="false">IF($A177="","",SUMIFS($C:$C,$A:$A,$H177,$B:$B,"&gt;="&amp;INT($B177),$B:$B,"&lt;"&amp;(INT($B177)+1)))</f>
        <v/>
      </c>
      <c r="F177" s="19" t="str">
        <f aca="false">IF($A177="","",IF(ISNA(MATCH($H177,Buffers!$AE:$AE,0)),"Not on Buffers",IF(NOT(ISNUMBER($B177)),"Needs a date",IF(INT($B177)&lt;PlanDate,"Past due",IF(INT($B177)=PlanDate,"Due today",IF(AND(INDEX(Buffers!$L:$L,MATCH($H177,Buffers!$AE:$AE,0))="Planned",$E177&gt;0,INT($B177)&lt;=PlanDate+ROUNDUP(IF(ISNUMBER(SpikeHorizon),SpikeHorizon,INDEX(Buffers!$D:$D,MATCH($H177,Buffers!$AE:$AE,0))),0),$E177&gt;=SpikePct*INDEX(Buffers!$P:$P,MATCH($H177,Buffers!$AE:$AE,0))),"Spike","Not qualified"))))))</f>
        <v/>
      </c>
      <c r="G177" s="8" t="str">
        <f aca="false">IF($A177="","",IF(OR($F177="Past due",$F177="Due today",$F177="Spike"),$C177,0))</f>
        <v/>
      </c>
      <c r="H177" s="8" t="str">
        <f aca="false">IF($A177="","",SUBSTITUTE(SUBSTITUTE(SUBSTITUTE($A177&amp;"","~","~~"),"*","~*"),"?","~?"))</f>
        <v/>
      </c>
    </row>
    <row r="178" customFormat="false" ht="15" hidden="false" customHeight="false" outlineLevel="0" collapsed="false">
      <c r="A178" s="11"/>
      <c r="B178" s="6"/>
      <c r="C178" s="11"/>
      <c r="D178" s="11"/>
      <c r="E178" s="8" t="str">
        <f aca="false">IF($A178="","",SUMIFS($C:$C,$A:$A,$H178,$B:$B,"&gt;="&amp;INT($B178),$B:$B,"&lt;"&amp;(INT($B178)+1)))</f>
        <v/>
      </c>
      <c r="F178" s="19" t="str">
        <f aca="false">IF($A178="","",IF(ISNA(MATCH($H178,Buffers!$AE:$AE,0)),"Not on Buffers",IF(NOT(ISNUMBER($B178)),"Needs a date",IF(INT($B178)&lt;PlanDate,"Past due",IF(INT($B178)=PlanDate,"Due today",IF(AND(INDEX(Buffers!$L:$L,MATCH($H178,Buffers!$AE:$AE,0))="Planned",$E178&gt;0,INT($B178)&lt;=PlanDate+ROUNDUP(IF(ISNUMBER(SpikeHorizon),SpikeHorizon,INDEX(Buffers!$D:$D,MATCH($H178,Buffers!$AE:$AE,0))),0),$E178&gt;=SpikePct*INDEX(Buffers!$P:$P,MATCH($H178,Buffers!$AE:$AE,0))),"Spike","Not qualified"))))))</f>
        <v/>
      </c>
      <c r="G178" s="8" t="str">
        <f aca="false">IF($A178="","",IF(OR($F178="Past due",$F178="Due today",$F178="Spike"),$C178,0))</f>
        <v/>
      </c>
      <c r="H178" s="8" t="str">
        <f aca="false">IF($A178="","",SUBSTITUTE(SUBSTITUTE(SUBSTITUTE($A178&amp;"","~","~~"),"*","~*"),"?","~?"))</f>
        <v/>
      </c>
    </row>
    <row r="179" customFormat="false" ht="15" hidden="false" customHeight="false" outlineLevel="0" collapsed="false">
      <c r="A179" s="11"/>
      <c r="B179" s="6"/>
      <c r="C179" s="11"/>
      <c r="D179" s="11"/>
      <c r="E179" s="8" t="str">
        <f aca="false">IF($A179="","",SUMIFS($C:$C,$A:$A,$H179,$B:$B,"&gt;="&amp;INT($B179),$B:$B,"&lt;"&amp;(INT($B179)+1)))</f>
        <v/>
      </c>
      <c r="F179" s="19" t="str">
        <f aca="false">IF($A179="","",IF(ISNA(MATCH($H179,Buffers!$AE:$AE,0)),"Not on Buffers",IF(NOT(ISNUMBER($B179)),"Needs a date",IF(INT($B179)&lt;PlanDate,"Past due",IF(INT($B179)=PlanDate,"Due today",IF(AND(INDEX(Buffers!$L:$L,MATCH($H179,Buffers!$AE:$AE,0))="Planned",$E179&gt;0,INT($B179)&lt;=PlanDate+ROUNDUP(IF(ISNUMBER(SpikeHorizon),SpikeHorizon,INDEX(Buffers!$D:$D,MATCH($H179,Buffers!$AE:$AE,0))),0),$E179&gt;=SpikePct*INDEX(Buffers!$P:$P,MATCH($H179,Buffers!$AE:$AE,0))),"Spike","Not qualified"))))))</f>
        <v/>
      </c>
      <c r="G179" s="8" t="str">
        <f aca="false">IF($A179="","",IF(OR($F179="Past due",$F179="Due today",$F179="Spike"),$C179,0))</f>
        <v/>
      </c>
      <c r="H179" s="8" t="str">
        <f aca="false">IF($A179="","",SUBSTITUTE(SUBSTITUTE(SUBSTITUTE($A179&amp;"","~","~~"),"*","~*"),"?","~?"))</f>
        <v/>
      </c>
    </row>
    <row r="180" customFormat="false" ht="15" hidden="false" customHeight="false" outlineLevel="0" collapsed="false">
      <c r="A180" s="11"/>
      <c r="B180" s="6"/>
      <c r="C180" s="11"/>
      <c r="D180" s="11"/>
      <c r="E180" s="8" t="str">
        <f aca="false">IF($A180="","",SUMIFS($C:$C,$A:$A,$H180,$B:$B,"&gt;="&amp;INT($B180),$B:$B,"&lt;"&amp;(INT($B180)+1)))</f>
        <v/>
      </c>
      <c r="F180" s="19" t="str">
        <f aca="false">IF($A180="","",IF(ISNA(MATCH($H180,Buffers!$AE:$AE,0)),"Not on Buffers",IF(NOT(ISNUMBER($B180)),"Needs a date",IF(INT($B180)&lt;PlanDate,"Past due",IF(INT($B180)=PlanDate,"Due today",IF(AND(INDEX(Buffers!$L:$L,MATCH($H180,Buffers!$AE:$AE,0))="Planned",$E180&gt;0,INT($B180)&lt;=PlanDate+ROUNDUP(IF(ISNUMBER(SpikeHorizon),SpikeHorizon,INDEX(Buffers!$D:$D,MATCH($H180,Buffers!$AE:$AE,0))),0),$E180&gt;=SpikePct*INDEX(Buffers!$P:$P,MATCH($H180,Buffers!$AE:$AE,0))),"Spike","Not qualified"))))))</f>
        <v/>
      </c>
      <c r="G180" s="8" t="str">
        <f aca="false">IF($A180="","",IF(OR($F180="Past due",$F180="Due today",$F180="Spike"),$C180,0))</f>
        <v/>
      </c>
      <c r="H180" s="8" t="str">
        <f aca="false">IF($A180="","",SUBSTITUTE(SUBSTITUTE(SUBSTITUTE($A180&amp;"","~","~~"),"*","~*"),"?","~?"))</f>
        <v/>
      </c>
    </row>
    <row r="181" customFormat="false" ht="15" hidden="false" customHeight="false" outlineLevel="0" collapsed="false">
      <c r="A181" s="11"/>
      <c r="B181" s="6"/>
      <c r="C181" s="11"/>
      <c r="D181" s="11"/>
      <c r="E181" s="8" t="str">
        <f aca="false">IF($A181="","",SUMIFS($C:$C,$A:$A,$H181,$B:$B,"&gt;="&amp;INT($B181),$B:$B,"&lt;"&amp;(INT($B181)+1)))</f>
        <v/>
      </c>
      <c r="F181" s="19" t="str">
        <f aca="false">IF($A181="","",IF(ISNA(MATCH($H181,Buffers!$AE:$AE,0)),"Not on Buffers",IF(NOT(ISNUMBER($B181)),"Needs a date",IF(INT($B181)&lt;PlanDate,"Past due",IF(INT($B181)=PlanDate,"Due today",IF(AND(INDEX(Buffers!$L:$L,MATCH($H181,Buffers!$AE:$AE,0))="Planned",$E181&gt;0,INT($B181)&lt;=PlanDate+ROUNDUP(IF(ISNUMBER(SpikeHorizon),SpikeHorizon,INDEX(Buffers!$D:$D,MATCH($H181,Buffers!$AE:$AE,0))),0),$E181&gt;=SpikePct*INDEX(Buffers!$P:$P,MATCH($H181,Buffers!$AE:$AE,0))),"Spike","Not qualified"))))))</f>
        <v/>
      </c>
      <c r="G181" s="8" t="str">
        <f aca="false">IF($A181="","",IF(OR($F181="Past due",$F181="Due today",$F181="Spike"),$C181,0))</f>
        <v/>
      </c>
      <c r="H181" s="8" t="str">
        <f aca="false">IF($A181="","",SUBSTITUTE(SUBSTITUTE(SUBSTITUTE($A181&amp;"","~","~~"),"*","~*"),"?","~?"))</f>
        <v/>
      </c>
    </row>
    <row r="182" customFormat="false" ht="15" hidden="false" customHeight="false" outlineLevel="0" collapsed="false">
      <c r="A182" s="11"/>
      <c r="B182" s="6"/>
      <c r="C182" s="11"/>
      <c r="D182" s="11"/>
      <c r="E182" s="8" t="str">
        <f aca="false">IF($A182="","",SUMIFS($C:$C,$A:$A,$H182,$B:$B,"&gt;="&amp;INT($B182),$B:$B,"&lt;"&amp;(INT($B182)+1)))</f>
        <v/>
      </c>
      <c r="F182" s="19" t="str">
        <f aca="false">IF($A182="","",IF(ISNA(MATCH($H182,Buffers!$AE:$AE,0)),"Not on Buffers",IF(NOT(ISNUMBER($B182)),"Needs a date",IF(INT($B182)&lt;PlanDate,"Past due",IF(INT($B182)=PlanDate,"Due today",IF(AND(INDEX(Buffers!$L:$L,MATCH($H182,Buffers!$AE:$AE,0))="Planned",$E182&gt;0,INT($B182)&lt;=PlanDate+ROUNDUP(IF(ISNUMBER(SpikeHorizon),SpikeHorizon,INDEX(Buffers!$D:$D,MATCH($H182,Buffers!$AE:$AE,0))),0),$E182&gt;=SpikePct*INDEX(Buffers!$P:$P,MATCH($H182,Buffers!$AE:$AE,0))),"Spike","Not qualified"))))))</f>
        <v/>
      </c>
      <c r="G182" s="8" t="str">
        <f aca="false">IF($A182="","",IF(OR($F182="Past due",$F182="Due today",$F182="Spike"),$C182,0))</f>
        <v/>
      </c>
      <c r="H182" s="8" t="str">
        <f aca="false">IF($A182="","",SUBSTITUTE(SUBSTITUTE(SUBSTITUTE($A182&amp;"","~","~~"),"*","~*"),"?","~?"))</f>
        <v/>
      </c>
    </row>
    <row r="183" customFormat="false" ht="15" hidden="false" customHeight="false" outlineLevel="0" collapsed="false">
      <c r="A183" s="11"/>
      <c r="B183" s="6"/>
      <c r="C183" s="11"/>
      <c r="D183" s="11"/>
      <c r="E183" s="8" t="str">
        <f aca="false">IF($A183="","",SUMIFS($C:$C,$A:$A,$H183,$B:$B,"&gt;="&amp;INT($B183),$B:$B,"&lt;"&amp;(INT($B183)+1)))</f>
        <v/>
      </c>
      <c r="F183" s="19" t="str">
        <f aca="false">IF($A183="","",IF(ISNA(MATCH($H183,Buffers!$AE:$AE,0)),"Not on Buffers",IF(NOT(ISNUMBER($B183)),"Needs a date",IF(INT($B183)&lt;PlanDate,"Past due",IF(INT($B183)=PlanDate,"Due today",IF(AND(INDEX(Buffers!$L:$L,MATCH($H183,Buffers!$AE:$AE,0))="Planned",$E183&gt;0,INT($B183)&lt;=PlanDate+ROUNDUP(IF(ISNUMBER(SpikeHorizon),SpikeHorizon,INDEX(Buffers!$D:$D,MATCH($H183,Buffers!$AE:$AE,0))),0),$E183&gt;=SpikePct*INDEX(Buffers!$P:$P,MATCH($H183,Buffers!$AE:$AE,0))),"Spike","Not qualified"))))))</f>
        <v/>
      </c>
      <c r="G183" s="8" t="str">
        <f aca="false">IF($A183="","",IF(OR($F183="Past due",$F183="Due today",$F183="Spike"),$C183,0))</f>
        <v/>
      </c>
      <c r="H183" s="8" t="str">
        <f aca="false">IF($A183="","",SUBSTITUTE(SUBSTITUTE(SUBSTITUTE($A183&amp;"","~","~~"),"*","~*"),"?","~?"))</f>
        <v/>
      </c>
    </row>
    <row r="184" customFormat="false" ht="15" hidden="false" customHeight="false" outlineLevel="0" collapsed="false">
      <c r="A184" s="11"/>
      <c r="B184" s="6"/>
      <c r="C184" s="11"/>
      <c r="D184" s="11"/>
      <c r="E184" s="8" t="str">
        <f aca="false">IF($A184="","",SUMIFS($C:$C,$A:$A,$H184,$B:$B,"&gt;="&amp;INT($B184),$B:$B,"&lt;"&amp;(INT($B184)+1)))</f>
        <v/>
      </c>
      <c r="F184" s="19" t="str">
        <f aca="false">IF($A184="","",IF(ISNA(MATCH($H184,Buffers!$AE:$AE,0)),"Not on Buffers",IF(NOT(ISNUMBER($B184)),"Needs a date",IF(INT($B184)&lt;PlanDate,"Past due",IF(INT($B184)=PlanDate,"Due today",IF(AND(INDEX(Buffers!$L:$L,MATCH($H184,Buffers!$AE:$AE,0))="Planned",$E184&gt;0,INT($B184)&lt;=PlanDate+ROUNDUP(IF(ISNUMBER(SpikeHorizon),SpikeHorizon,INDEX(Buffers!$D:$D,MATCH($H184,Buffers!$AE:$AE,0))),0),$E184&gt;=SpikePct*INDEX(Buffers!$P:$P,MATCH($H184,Buffers!$AE:$AE,0))),"Spike","Not qualified"))))))</f>
        <v/>
      </c>
      <c r="G184" s="8" t="str">
        <f aca="false">IF($A184="","",IF(OR($F184="Past due",$F184="Due today",$F184="Spike"),$C184,0))</f>
        <v/>
      </c>
      <c r="H184" s="8" t="str">
        <f aca="false">IF($A184="","",SUBSTITUTE(SUBSTITUTE(SUBSTITUTE($A184&amp;"","~","~~"),"*","~*"),"?","~?"))</f>
        <v/>
      </c>
    </row>
    <row r="185" customFormat="false" ht="15" hidden="false" customHeight="false" outlineLevel="0" collapsed="false">
      <c r="A185" s="11"/>
      <c r="B185" s="6"/>
      <c r="C185" s="11"/>
      <c r="D185" s="11"/>
      <c r="E185" s="8" t="str">
        <f aca="false">IF($A185="","",SUMIFS($C:$C,$A:$A,$H185,$B:$B,"&gt;="&amp;INT($B185),$B:$B,"&lt;"&amp;(INT($B185)+1)))</f>
        <v/>
      </c>
      <c r="F185" s="19" t="str">
        <f aca="false">IF($A185="","",IF(ISNA(MATCH($H185,Buffers!$AE:$AE,0)),"Not on Buffers",IF(NOT(ISNUMBER($B185)),"Needs a date",IF(INT($B185)&lt;PlanDate,"Past due",IF(INT($B185)=PlanDate,"Due today",IF(AND(INDEX(Buffers!$L:$L,MATCH($H185,Buffers!$AE:$AE,0))="Planned",$E185&gt;0,INT($B185)&lt;=PlanDate+ROUNDUP(IF(ISNUMBER(SpikeHorizon),SpikeHorizon,INDEX(Buffers!$D:$D,MATCH($H185,Buffers!$AE:$AE,0))),0),$E185&gt;=SpikePct*INDEX(Buffers!$P:$P,MATCH($H185,Buffers!$AE:$AE,0))),"Spike","Not qualified"))))))</f>
        <v/>
      </c>
      <c r="G185" s="8" t="str">
        <f aca="false">IF($A185="","",IF(OR($F185="Past due",$F185="Due today",$F185="Spike"),$C185,0))</f>
        <v/>
      </c>
      <c r="H185" s="8" t="str">
        <f aca="false">IF($A185="","",SUBSTITUTE(SUBSTITUTE(SUBSTITUTE($A185&amp;"","~","~~"),"*","~*"),"?","~?"))</f>
        <v/>
      </c>
    </row>
    <row r="186" customFormat="false" ht="15" hidden="false" customHeight="false" outlineLevel="0" collapsed="false">
      <c r="A186" s="11"/>
      <c r="B186" s="6"/>
      <c r="C186" s="11"/>
      <c r="D186" s="11"/>
      <c r="E186" s="8" t="str">
        <f aca="false">IF($A186="","",SUMIFS($C:$C,$A:$A,$H186,$B:$B,"&gt;="&amp;INT($B186),$B:$B,"&lt;"&amp;(INT($B186)+1)))</f>
        <v/>
      </c>
      <c r="F186" s="19" t="str">
        <f aca="false">IF($A186="","",IF(ISNA(MATCH($H186,Buffers!$AE:$AE,0)),"Not on Buffers",IF(NOT(ISNUMBER($B186)),"Needs a date",IF(INT($B186)&lt;PlanDate,"Past due",IF(INT($B186)=PlanDate,"Due today",IF(AND(INDEX(Buffers!$L:$L,MATCH($H186,Buffers!$AE:$AE,0))="Planned",$E186&gt;0,INT($B186)&lt;=PlanDate+ROUNDUP(IF(ISNUMBER(SpikeHorizon),SpikeHorizon,INDEX(Buffers!$D:$D,MATCH($H186,Buffers!$AE:$AE,0))),0),$E186&gt;=SpikePct*INDEX(Buffers!$P:$P,MATCH($H186,Buffers!$AE:$AE,0))),"Spike","Not qualified"))))))</f>
        <v/>
      </c>
      <c r="G186" s="8" t="str">
        <f aca="false">IF($A186="","",IF(OR($F186="Past due",$F186="Due today",$F186="Spike"),$C186,0))</f>
        <v/>
      </c>
      <c r="H186" s="8" t="str">
        <f aca="false">IF($A186="","",SUBSTITUTE(SUBSTITUTE(SUBSTITUTE($A186&amp;"","~","~~"),"*","~*"),"?","~?"))</f>
        <v/>
      </c>
    </row>
    <row r="187" customFormat="false" ht="15" hidden="false" customHeight="false" outlineLevel="0" collapsed="false">
      <c r="A187" s="11"/>
      <c r="B187" s="6"/>
      <c r="C187" s="11"/>
      <c r="D187" s="11"/>
      <c r="E187" s="8" t="str">
        <f aca="false">IF($A187="","",SUMIFS($C:$C,$A:$A,$H187,$B:$B,"&gt;="&amp;INT($B187),$B:$B,"&lt;"&amp;(INT($B187)+1)))</f>
        <v/>
      </c>
      <c r="F187" s="19" t="str">
        <f aca="false">IF($A187="","",IF(ISNA(MATCH($H187,Buffers!$AE:$AE,0)),"Not on Buffers",IF(NOT(ISNUMBER($B187)),"Needs a date",IF(INT($B187)&lt;PlanDate,"Past due",IF(INT($B187)=PlanDate,"Due today",IF(AND(INDEX(Buffers!$L:$L,MATCH($H187,Buffers!$AE:$AE,0))="Planned",$E187&gt;0,INT($B187)&lt;=PlanDate+ROUNDUP(IF(ISNUMBER(SpikeHorizon),SpikeHorizon,INDEX(Buffers!$D:$D,MATCH($H187,Buffers!$AE:$AE,0))),0),$E187&gt;=SpikePct*INDEX(Buffers!$P:$P,MATCH($H187,Buffers!$AE:$AE,0))),"Spike","Not qualified"))))))</f>
        <v/>
      </c>
      <c r="G187" s="8" t="str">
        <f aca="false">IF($A187="","",IF(OR($F187="Past due",$F187="Due today",$F187="Spike"),$C187,0))</f>
        <v/>
      </c>
      <c r="H187" s="8" t="str">
        <f aca="false">IF($A187="","",SUBSTITUTE(SUBSTITUTE(SUBSTITUTE($A187&amp;"","~","~~"),"*","~*"),"?","~?"))</f>
        <v/>
      </c>
    </row>
    <row r="188" customFormat="false" ht="15" hidden="false" customHeight="false" outlineLevel="0" collapsed="false">
      <c r="A188" s="11"/>
      <c r="B188" s="6"/>
      <c r="C188" s="11"/>
      <c r="D188" s="11"/>
      <c r="E188" s="8" t="str">
        <f aca="false">IF($A188="","",SUMIFS($C:$C,$A:$A,$H188,$B:$B,"&gt;="&amp;INT($B188),$B:$B,"&lt;"&amp;(INT($B188)+1)))</f>
        <v/>
      </c>
      <c r="F188" s="19" t="str">
        <f aca="false">IF($A188="","",IF(ISNA(MATCH($H188,Buffers!$AE:$AE,0)),"Not on Buffers",IF(NOT(ISNUMBER($B188)),"Needs a date",IF(INT($B188)&lt;PlanDate,"Past due",IF(INT($B188)=PlanDate,"Due today",IF(AND(INDEX(Buffers!$L:$L,MATCH($H188,Buffers!$AE:$AE,0))="Planned",$E188&gt;0,INT($B188)&lt;=PlanDate+ROUNDUP(IF(ISNUMBER(SpikeHorizon),SpikeHorizon,INDEX(Buffers!$D:$D,MATCH($H188,Buffers!$AE:$AE,0))),0),$E188&gt;=SpikePct*INDEX(Buffers!$P:$P,MATCH($H188,Buffers!$AE:$AE,0))),"Spike","Not qualified"))))))</f>
        <v/>
      </c>
      <c r="G188" s="8" t="str">
        <f aca="false">IF($A188="","",IF(OR($F188="Past due",$F188="Due today",$F188="Spike"),$C188,0))</f>
        <v/>
      </c>
      <c r="H188" s="8" t="str">
        <f aca="false">IF($A188="","",SUBSTITUTE(SUBSTITUTE(SUBSTITUTE($A188&amp;"","~","~~"),"*","~*"),"?","~?"))</f>
        <v/>
      </c>
    </row>
    <row r="189" customFormat="false" ht="15" hidden="false" customHeight="false" outlineLevel="0" collapsed="false">
      <c r="A189" s="11"/>
      <c r="B189" s="6"/>
      <c r="C189" s="11"/>
      <c r="D189" s="11"/>
      <c r="E189" s="8" t="str">
        <f aca="false">IF($A189="","",SUMIFS($C:$C,$A:$A,$H189,$B:$B,"&gt;="&amp;INT($B189),$B:$B,"&lt;"&amp;(INT($B189)+1)))</f>
        <v/>
      </c>
      <c r="F189" s="19" t="str">
        <f aca="false">IF($A189="","",IF(ISNA(MATCH($H189,Buffers!$AE:$AE,0)),"Not on Buffers",IF(NOT(ISNUMBER($B189)),"Needs a date",IF(INT($B189)&lt;PlanDate,"Past due",IF(INT($B189)=PlanDate,"Due today",IF(AND(INDEX(Buffers!$L:$L,MATCH($H189,Buffers!$AE:$AE,0))="Planned",$E189&gt;0,INT($B189)&lt;=PlanDate+ROUNDUP(IF(ISNUMBER(SpikeHorizon),SpikeHorizon,INDEX(Buffers!$D:$D,MATCH($H189,Buffers!$AE:$AE,0))),0),$E189&gt;=SpikePct*INDEX(Buffers!$P:$P,MATCH($H189,Buffers!$AE:$AE,0))),"Spike","Not qualified"))))))</f>
        <v/>
      </c>
      <c r="G189" s="8" t="str">
        <f aca="false">IF($A189="","",IF(OR($F189="Past due",$F189="Due today",$F189="Spike"),$C189,0))</f>
        <v/>
      </c>
      <c r="H189" s="8" t="str">
        <f aca="false">IF($A189="","",SUBSTITUTE(SUBSTITUTE(SUBSTITUTE($A189&amp;"","~","~~"),"*","~*"),"?","~?"))</f>
        <v/>
      </c>
    </row>
    <row r="190" customFormat="false" ht="15" hidden="false" customHeight="false" outlineLevel="0" collapsed="false">
      <c r="A190" s="11"/>
      <c r="B190" s="6"/>
      <c r="C190" s="11"/>
      <c r="D190" s="11"/>
      <c r="E190" s="8" t="str">
        <f aca="false">IF($A190="","",SUMIFS($C:$C,$A:$A,$H190,$B:$B,"&gt;="&amp;INT($B190),$B:$B,"&lt;"&amp;(INT($B190)+1)))</f>
        <v/>
      </c>
      <c r="F190" s="19" t="str">
        <f aca="false">IF($A190="","",IF(ISNA(MATCH($H190,Buffers!$AE:$AE,0)),"Not on Buffers",IF(NOT(ISNUMBER($B190)),"Needs a date",IF(INT($B190)&lt;PlanDate,"Past due",IF(INT($B190)=PlanDate,"Due today",IF(AND(INDEX(Buffers!$L:$L,MATCH($H190,Buffers!$AE:$AE,0))="Planned",$E190&gt;0,INT($B190)&lt;=PlanDate+ROUNDUP(IF(ISNUMBER(SpikeHorizon),SpikeHorizon,INDEX(Buffers!$D:$D,MATCH($H190,Buffers!$AE:$AE,0))),0),$E190&gt;=SpikePct*INDEX(Buffers!$P:$P,MATCH($H190,Buffers!$AE:$AE,0))),"Spike","Not qualified"))))))</f>
        <v/>
      </c>
      <c r="G190" s="8" t="str">
        <f aca="false">IF($A190="","",IF(OR($F190="Past due",$F190="Due today",$F190="Spike"),$C190,0))</f>
        <v/>
      </c>
      <c r="H190" s="8" t="str">
        <f aca="false">IF($A190="","",SUBSTITUTE(SUBSTITUTE(SUBSTITUTE($A190&amp;"","~","~~"),"*","~*"),"?","~?"))</f>
        <v/>
      </c>
    </row>
    <row r="191" customFormat="false" ht="15" hidden="false" customHeight="false" outlineLevel="0" collapsed="false">
      <c r="A191" s="11"/>
      <c r="B191" s="6"/>
      <c r="C191" s="11"/>
      <c r="D191" s="11"/>
      <c r="E191" s="8" t="str">
        <f aca="false">IF($A191="","",SUMIFS($C:$C,$A:$A,$H191,$B:$B,"&gt;="&amp;INT($B191),$B:$B,"&lt;"&amp;(INT($B191)+1)))</f>
        <v/>
      </c>
      <c r="F191" s="19" t="str">
        <f aca="false">IF($A191="","",IF(ISNA(MATCH($H191,Buffers!$AE:$AE,0)),"Not on Buffers",IF(NOT(ISNUMBER($B191)),"Needs a date",IF(INT($B191)&lt;PlanDate,"Past due",IF(INT($B191)=PlanDate,"Due today",IF(AND(INDEX(Buffers!$L:$L,MATCH($H191,Buffers!$AE:$AE,0))="Planned",$E191&gt;0,INT($B191)&lt;=PlanDate+ROUNDUP(IF(ISNUMBER(SpikeHorizon),SpikeHorizon,INDEX(Buffers!$D:$D,MATCH($H191,Buffers!$AE:$AE,0))),0),$E191&gt;=SpikePct*INDEX(Buffers!$P:$P,MATCH($H191,Buffers!$AE:$AE,0))),"Spike","Not qualified"))))))</f>
        <v/>
      </c>
      <c r="G191" s="8" t="str">
        <f aca="false">IF($A191="","",IF(OR($F191="Past due",$F191="Due today",$F191="Spike"),$C191,0))</f>
        <v/>
      </c>
      <c r="H191" s="8" t="str">
        <f aca="false">IF($A191="","",SUBSTITUTE(SUBSTITUTE(SUBSTITUTE($A191&amp;"","~","~~"),"*","~*"),"?","~?"))</f>
        <v/>
      </c>
    </row>
    <row r="192" customFormat="false" ht="15" hidden="false" customHeight="false" outlineLevel="0" collapsed="false">
      <c r="A192" s="11"/>
      <c r="B192" s="6"/>
      <c r="C192" s="11"/>
      <c r="D192" s="11"/>
      <c r="E192" s="8" t="str">
        <f aca="false">IF($A192="","",SUMIFS($C:$C,$A:$A,$H192,$B:$B,"&gt;="&amp;INT($B192),$B:$B,"&lt;"&amp;(INT($B192)+1)))</f>
        <v/>
      </c>
      <c r="F192" s="19" t="str">
        <f aca="false">IF($A192="","",IF(ISNA(MATCH($H192,Buffers!$AE:$AE,0)),"Not on Buffers",IF(NOT(ISNUMBER($B192)),"Needs a date",IF(INT($B192)&lt;PlanDate,"Past due",IF(INT($B192)=PlanDate,"Due today",IF(AND(INDEX(Buffers!$L:$L,MATCH($H192,Buffers!$AE:$AE,0))="Planned",$E192&gt;0,INT($B192)&lt;=PlanDate+ROUNDUP(IF(ISNUMBER(SpikeHorizon),SpikeHorizon,INDEX(Buffers!$D:$D,MATCH($H192,Buffers!$AE:$AE,0))),0),$E192&gt;=SpikePct*INDEX(Buffers!$P:$P,MATCH($H192,Buffers!$AE:$AE,0))),"Spike","Not qualified"))))))</f>
        <v/>
      </c>
      <c r="G192" s="8" t="str">
        <f aca="false">IF($A192="","",IF(OR($F192="Past due",$F192="Due today",$F192="Spike"),$C192,0))</f>
        <v/>
      </c>
      <c r="H192" s="8" t="str">
        <f aca="false">IF($A192="","",SUBSTITUTE(SUBSTITUTE(SUBSTITUTE($A192&amp;"","~","~~"),"*","~*"),"?","~?"))</f>
        <v/>
      </c>
    </row>
    <row r="193" customFormat="false" ht="15" hidden="false" customHeight="false" outlineLevel="0" collapsed="false">
      <c r="A193" s="11"/>
      <c r="B193" s="6"/>
      <c r="C193" s="11"/>
      <c r="D193" s="11"/>
      <c r="E193" s="8" t="str">
        <f aca="false">IF($A193="","",SUMIFS($C:$C,$A:$A,$H193,$B:$B,"&gt;="&amp;INT($B193),$B:$B,"&lt;"&amp;(INT($B193)+1)))</f>
        <v/>
      </c>
      <c r="F193" s="19" t="str">
        <f aca="false">IF($A193="","",IF(ISNA(MATCH($H193,Buffers!$AE:$AE,0)),"Not on Buffers",IF(NOT(ISNUMBER($B193)),"Needs a date",IF(INT($B193)&lt;PlanDate,"Past due",IF(INT($B193)=PlanDate,"Due today",IF(AND(INDEX(Buffers!$L:$L,MATCH($H193,Buffers!$AE:$AE,0))="Planned",$E193&gt;0,INT($B193)&lt;=PlanDate+ROUNDUP(IF(ISNUMBER(SpikeHorizon),SpikeHorizon,INDEX(Buffers!$D:$D,MATCH($H193,Buffers!$AE:$AE,0))),0),$E193&gt;=SpikePct*INDEX(Buffers!$P:$P,MATCH($H193,Buffers!$AE:$AE,0))),"Spike","Not qualified"))))))</f>
        <v/>
      </c>
      <c r="G193" s="8" t="str">
        <f aca="false">IF($A193="","",IF(OR($F193="Past due",$F193="Due today",$F193="Spike"),$C193,0))</f>
        <v/>
      </c>
      <c r="H193" s="8" t="str">
        <f aca="false">IF($A193="","",SUBSTITUTE(SUBSTITUTE(SUBSTITUTE($A193&amp;"","~","~~"),"*","~*"),"?","~?"))</f>
        <v/>
      </c>
    </row>
    <row r="194" customFormat="false" ht="15" hidden="false" customHeight="false" outlineLevel="0" collapsed="false">
      <c r="A194" s="11"/>
      <c r="B194" s="6"/>
      <c r="C194" s="11"/>
      <c r="D194" s="11"/>
      <c r="E194" s="8" t="str">
        <f aca="false">IF($A194="","",SUMIFS($C:$C,$A:$A,$H194,$B:$B,"&gt;="&amp;INT($B194),$B:$B,"&lt;"&amp;(INT($B194)+1)))</f>
        <v/>
      </c>
      <c r="F194" s="19" t="str">
        <f aca="false">IF($A194="","",IF(ISNA(MATCH($H194,Buffers!$AE:$AE,0)),"Not on Buffers",IF(NOT(ISNUMBER($B194)),"Needs a date",IF(INT($B194)&lt;PlanDate,"Past due",IF(INT($B194)=PlanDate,"Due today",IF(AND(INDEX(Buffers!$L:$L,MATCH($H194,Buffers!$AE:$AE,0))="Planned",$E194&gt;0,INT($B194)&lt;=PlanDate+ROUNDUP(IF(ISNUMBER(SpikeHorizon),SpikeHorizon,INDEX(Buffers!$D:$D,MATCH($H194,Buffers!$AE:$AE,0))),0),$E194&gt;=SpikePct*INDEX(Buffers!$P:$P,MATCH($H194,Buffers!$AE:$AE,0))),"Spike","Not qualified"))))))</f>
        <v/>
      </c>
      <c r="G194" s="8" t="str">
        <f aca="false">IF($A194="","",IF(OR($F194="Past due",$F194="Due today",$F194="Spike"),$C194,0))</f>
        <v/>
      </c>
      <c r="H194" s="8" t="str">
        <f aca="false">IF($A194="","",SUBSTITUTE(SUBSTITUTE(SUBSTITUTE($A194&amp;"","~","~~"),"*","~*"),"?","~?"))</f>
        <v/>
      </c>
    </row>
    <row r="195" customFormat="false" ht="15" hidden="false" customHeight="false" outlineLevel="0" collapsed="false">
      <c r="A195" s="11"/>
      <c r="B195" s="6"/>
      <c r="C195" s="11"/>
      <c r="D195" s="11"/>
      <c r="E195" s="8" t="str">
        <f aca="false">IF($A195="","",SUMIFS($C:$C,$A:$A,$H195,$B:$B,"&gt;="&amp;INT($B195),$B:$B,"&lt;"&amp;(INT($B195)+1)))</f>
        <v/>
      </c>
      <c r="F195" s="19" t="str">
        <f aca="false">IF($A195="","",IF(ISNA(MATCH($H195,Buffers!$AE:$AE,0)),"Not on Buffers",IF(NOT(ISNUMBER($B195)),"Needs a date",IF(INT($B195)&lt;PlanDate,"Past due",IF(INT($B195)=PlanDate,"Due today",IF(AND(INDEX(Buffers!$L:$L,MATCH($H195,Buffers!$AE:$AE,0))="Planned",$E195&gt;0,INT($B195)&lt;=PlanDate+ROUNDUP(IF(ISNUMBER(SpikeHorizon),SpikeHorizon,INDEX(Buffers!$D:$D,MATCH($H195,Buffers!$AE:$AE,0))),0),$E195&gt;=SpikePct*INDEX(Buffers!$P:$P,MATCH($H195,Buffers!$AE:$AE,0))),"Spike","Not qualified"))))))</f>
        <v/>
      </c>
      <c r="G195" s="8" t="str">
        <f aca="false">IF($A195="","",IF(OR($F195="Past due",$F195="Due today",$F195="Spike"),$C195,0))</f>
        <v/>
      </c>
      <c r="H195" s="8" t="str">
        <f aca="false">IF($A195="","",SUBSTITUTE(SUBSTITUTE(SUBSTITUTE($A195&amp;"","~","~~"),"*","~*"),"?","~?"))</f>
        <v/>
      </c>
    </row>
    <row r="196" customFormat="false" ht="15" hidden="false" customHeight="false" outlineLevel="0" collapsed="false">
      <c r="A196" s="11"/>
      <c r="B196" s="6"/>
      <c r="C196" s="11"/>
      <c r="D196" s="11"/>
      <c r="E196" s="8" t="str">
        <f aca="false">IF($A196="","",SUMIFS($C:$C,$A:$A,$H196,$B:$B,"&gt;="&amp;INT($B196),$B:$B,"&lt;"&amp;(INT($B196)+1)))</f>
        <v/>
      </c>
      <c r="F196" s="19" t="str">
        <f aca="false">IF($A196="","",IF(ISNA(MATCH($H196,Buffers!$AE:$AE,0)),"Not on Buffers",IF(NOT(ISNUMBER($B196)),"Needs a date",IF(INT($B196)&lt;PlanDate,"Past due",IF(INT($B196)=PlanDate,"Due today",IF(AND(INDEX(Buffers!$L:$L,MATCH($H196,Buffers!$AE:$AE,0))="Planned",$E196&gt;0,INT($B196)&lt;=PlanDate+ROUNDUP(IF(ISNUMBER(SpikeHorizon),SpikeHorizon,INDEX(Buffers!$D:$D,MATCH($H196,Buffers!$AE:$AE,0))),0),$E196&gt;=SpikePct*INDEX(Buffers!$P:$P,MATCH($H196,Buffers!$AE:$AE,0))),"Spike","Not qualified"))))))</f>
        <v/>
      </c>
      <c r="G196" s="8" t="str">
        <f aca="false">IF($A196="","",IF(OR($F196="Past due",$F196="Due today",$F196="Spike"),$C196,0))</f>
        <v/>
      </c>
      <c r="H196" s="8" t="str">
        <f aca="false">IF($A196="","",SUBSTITUTE(SUBSTITUTE(SUBSTITUTE($A196&amp;"","~","~~"),"*","~*"),"?","~?"))</f>
        <v/>
      </c>
    </row>
    <row r="197" customFormat="false" ht="15" hidden="false" customHeight="false" outlineLevel="0" collapsed="false">
      <c r="A197" s="11"/>
      <c r="B197" s="6"/>
      <c r="C197" s="11"/>
      <c r="D197" s="11"/>
      <c r="E197" s="8" t="str">
        <f aca="false">IF($A197="","",SUMIFS($C:$C,$A:$A,$H197,$B:$B,"&gt;="&amp;INT($B197),$B:$B,"&lt;"&amp;(INT($B197)+1)))</f>
        <v/>
      </c>
      <c r="F197" s="19" t="str">
        <f aca="false">IF($A197="","",IF(ISNA(MATCH($H197,Buffers!$AE:$AE,0)),"Not on Buffers",IF(NOT(ISNUMBER($B197)),"Needs a date",IF(INT($B197)&lt;PlanDate,"Past due",IF(INT($B197)=PlanDate,"Due today",IF(AND(INDEX(Buffers!$L:$L,MATCH($H197,Buffers!$AE:$AE,0))="Planned",$E197&gt;0,INT($B197)&lt;=PlanDate+ROUNDUP(IF(ISNUMBER(SpikeHorizon),SpikeHorizon,INDEX(Buffers!$D:$D,MATCH($H197,Buffers!$AE:$AE,0))),0),$E197&gt;=SpikePct*INDEX(Buffers!$P:$P,MATCH($H197,Buffers!$AE:$AE,0))),"Spike","Not qualified"))))))</f>
        <v/>
      </c>
      <c r="G197" s="8" t="str">
        <f aca="false">IF($A197="","",IF(OR($F197="Past due",$F197="Due today",$F197="Spike"),$C197,0))</f>
        <v/>
      </c>
      <c r="H197" s="8" t="str">
        <f aca="false">IF($A197="","",SUBSTITUTE(SUBSTITUTE(SUBSTITUTE($A197&amp;"","~","~~"),"*","~*"),"?","~?"))</f>
        <v/>
      </c>
    </row>
    <row r="198" customFormat="false" ht="15" hidden="false" customHeight="false" outlineLevel="0" collapsed="false">
      <c r="A198" s="11"/>
      <c r="B198" s="6"/>
      <c r="C198" s="11"/>
      <c r="D198" s="11"/>
      <c r="E198" s="8" t="str">
        <f aca="false">IF($A198="","",SUMIFS($C:$C,$A:$A,$H198,$B:$B,"&gt;="&amp;INT($B198),$B:$B,"&lt;"&amp;(INT($B198)+1)))</f>
        <v/>
      </c>
      <c r="F198" s="19" t="str">
        <f aca="false">IF($A198="","",IF(ISNA(MATCH($H198,Buffers!$AE:$AE,0)),"Not on Buffers",IF(NOT(ISNUMBER($B198)),"Needs a date",IF(INT($B198)&lt;PlanDate,"Past due",IF(INT($B198)=PlanDate,"Due today",IF(AND(INDEX(Buffers!$L:$L,MATCH($H198,Buffers!$AE:$AE,0))="Planned",$E198&gt;0,INT($B198)&lt;=PlanDate+ROUNDUP(IF(ISNUMBER(SpikeHorizon),SpikeHorizon,INDEX(Buffers!$D:$D,MATCH($H198,Buffers!$AE:$AE,0))),0),$E198&gt;=SpikePct*INDEX(Buffers!$P:$P,MATCH($H198,Buffers!$AE:$AE,0))),"Spike","Not qualified"))))))</f>
        <v/>
      </c>
      <c r="G198" s="8" t="str">
        <f aca="false">IF($A198="","",IF(OR($F198="Past due",$F198="Due today",$F198="Spike"),$C198,0))</f>
        <v/>
      </c>
      <c r="H198" s="8" t="str">
        <f aca="false">IF($A198="","",SUBSTITUTE(SUBSTITUTE(SUBSTITUTE($A198&amp;"","~","~~"),"*","~*"),"?","~?"))</f>
        <v/>
      </c>
    </row>
    <row r="199" customFormat="false" ht="15" hidden="false" customHeight="false" outlineLevel="0" collapsed="false">
      <c r="A199" s="11"/>
      <c r="B199" s="6"/>
      <c r="C199" s="11"/>
      <c r="D199" s="11"/>
      <c r="E199" s="8" t="str">
        <f aca="false">IF($A199="","",SUMIFS($C:$C,$A:$A,$H199,$B:$B,"&gt;="&amp;INT($B199),$B:$B,"&lt;"&amp;(INT($B199)+1)))</f>
        <v/>
      </c>
      <c r="F199" s="19" t="str">
        <f aca="false">IF($A199="","",IF(ISNA(MATCH($H199,Buffers!$AE:$AE,0)),"Not on Buffers",IF(NOT(ISNUMBER($B199)),"Needs a date",IF(INT($B199)&lt;PlanDate,"Past due",IF(INT($B199)=PlanDate,"Due today",IF(AND(INDEX(Buffers!$L:$L,MATCH($H199,Buffers!$AE:$AE,0))="Planned",$E199&gt;0,INT($B199)&lt;=PlanDate+ROUNDUP(IF(ISNUMBER(SpikeHorizon),SpikeHorizon,INDEX(Buffers!$D:$D,MATCH($H199,Buffers!$AE:$AE,0))),0),$E199&gt;=SpikePct*INDEX(Buffers!$P:$P,MATCH($H199,Buffers!$AE:$AE,0))),"Spike","Not qualified"))))))</f>
        <v/>
      </c>
      <c r="G199" s="8" t="str">
        <f aca="false">IF($A199="","",IF(OR($F199="Past due",$F199="Due today",$F199="Spike"),$C199,0))</f>
        <v/>
      </c>
      <c r="H199" s="8" t="str">
        <f aca="false">IF($A199="","",SUBSTITUTE(SUBSTITUTE(SUBSTITUTE($A199&amp;"","~","~~"),"*","~*"),"?","~?"))</f>
        <v/>
      </c>
    </row>
    <row r="200" customFormat="false" ht="15" hidden="false" customHeight="false" outlineLevel="0" collapsed="false">
      <c r="A200" s="11"/>
      <c r="B200" s="6"/>
      <c r="C200" s="11"/>
      <c r="D200" s="11"/>
      <c r="E200" s="8" t="str">
        <f aca="false">IF($A200="","",SUMIFS($C:$C,$A:$A,$H200,$B:$B,"&gt;="&amp;INT($B200),$B:$B,"&lt;"&amp;(INT($B200)+1)))</f>
        <v/>
      </c>
      <c r="F200" s="19" t="str">
        <f aca="false">IF($A200="","",IF(ISNA(MATCH($H200,Buffers!$AE:$AE,0)),"Not on Buffers",IF(NOT(ISNUMBER($B200)),"Needs a date",IF(INT($B200)&lt;PlanDate,"Past due",IF(INT($B200)=PlanDate,"Due today",IF(AND(INDEX(Buffers!$L:$L,MATCH($H200,Buffers!$AE:$AE,0))="Planned",$E200&gt;0,INT($B200)&lt;=PlanDate+ROUNDUP(IF(ISNUMBER(SpikeHorizon),SpikeHorizon,INDEX(Buffers!$D:$D,MATCH($H200,Buffers!$AE:$AE,0))),0),$E200&gt;=SpikePct*INDEX(Buffers!$P:$P,MATCH($H200,Buffers!$AE:$AE,0))),"Spike","Not qualified"))))))</f>
        <v/>
      </c>
      <c r="G200" s="8" t="str">
        <f aca="false">IF($A200="","",IF(OR($F200="Past due",$F200="Due today",$F200="Spike"),$C200,0))</f>
        <v/>
      </c>
      <c r="H200" s="8" t="str">
        <f aca="false">IF($A200="","",SUBSTITUTE(SUBSTITUTE(SUBSTITUTE($A200&amp;"","~","~~"),"*","~*"),"?","~?"))</f>
        <v/>
      </c>
    </row>
    <row r="201" customFormat="false" ht="15" hidden="false" customHeight="false" outlineLevel="0" collapsed="false">
      <c r="A201" s="11"/>
      <c r="B201" s="6"/>
      <c r="C201" s="11"/>
      <c r="D201" s="11"/>
      <c r="E201" s="8" t="str">
        <f aca="false">IF($A201="","",SUMIFS($C:$C,$A:$A,$H201,$B:$B,"&gt;="&amp;INT($B201),$B:$B,"&lt;"&amp;(INT($B201)+1)))</f>
        <v/>
      </c>
      <c r="F201" s="19" t="str">
        <f aca="false">IF($A201="","",IF(ISNA(MATCH($H201,Buffers!$AE:$AE,0)),"Not on Buffers",IF(NOT(ISNUMBER($B201)),"Needs a date",IF(INT($B201)&lt;PlanDate,"Past due",IF(INT($B201)=PlanDate,"Due today",IF(AND(INDEX(Buffers!$L:$L,MATCH($H201,Buffers!$AE:$AE,0))="Planned",$E201&gt;0,INT($B201)&lt;=PlanDate+ROUNDUP(IF(ISNUMBER(SpikeHorizon),SpikeHorizon,INDEX(Buffers!$D:$D,MATCH($H201,Buffers!$AE:$AE,0))),0),$E201&gt;=SpikePct*INDEX(Buffers!$P:$P,MATCH($H201,Buffers!$AE:$AE,0))),"Spike","Not qualified"))))))</f>
        <v/>
      </c>
      <c r="G201" s="8" t="str">
        <f aca="false">IF($A201="","",IF(OR($F201="Past due",$F201="Due today",$F201="Spike"),$C201,0))</f>
        <v/>
      </c>
      <c r="H201" s="8" t="str">
        <f aca="false">IF($A201="","",SUBSTITUTE(SUBSTITUTE(SUBSTITUTE($A201&amp;"","~","~~"),"*","~*"),"?","~?"))</f>
        <v/>
      </c>
    </row>
    <row r="202" customFormat="false" ht="15" hidden="false" customHeight="false" outlineLevel="0" collapsed="false">
      <c r="A202" s="11"/>
      <c r="B202" s="6"/>
      <c r="C202" s="11"/>
      <c r="D202" s="11"/>
      <c r="E202" s="8" t="str">
        <f aca="false">IF($A202="","",SUMIFS($C:$C,$A:$A,$H202,$B:$B,"&gt;="&amp;INT($B202),$B:$B,"&lt;"&amp;(INT($B202)+1)))</f>
        <v/>
      </c>
      <c r="F202" s="19" t="str">
        <f aca="false">IF($A202="","",IF(ISNA(MATCH($H202,Buffers!$AE:$AE,0)),"Not on Buffers",IF(NOT(ISNUMBER($B202)),"Needs a date",IF(INT($B202)&lt;PlanDate,"Past due",IF(INT($B202)=PlanDate,"Due today",IF(AND(INDEX(Buffers!$L:$L,MATCH($H202,Buffers!$AE:$AE,0))="Planned",$E202&gt;0,INT($B202)&lt;=PlanDate+ROUNDUP(IF(ISNUMBER(SpikeHorizon),SpikeHorizon,INDEX(Buffers!$D:$D,MATCH($H202,Buffers!$AE:$AE,0))),0),$E202&gt;=SpikePct*INDEX(Buffers!$P:$P,MATCH($H202,Buffers!$AE:$AE,0))),"Spike","Not qualified"))))))</f>
        <v/>
      </c>
      <c r="G202" s="8" t="str">
        <f aca="false">IF($A202="","",IF(OR($F202="Past due",$F202="Due today",$F202="Spike"),$C202,0))</f>
        <v/>
      </c>
      <c r="H202" s="8" t="str">
        <f aca="false">IF($A202="","",SUBSTITUTE(SUBSTITUTE(SUBSTITUTE($A202&amp;"","~","~~"),"*","~*"),"?","~?"))</f>
        <v/>
      </c>
    </row>
    <row r="203" customFormat="false" ht="15" hidden="false" customHeight="false" outlineLevel="0" collapsed="false">
      <c r="A203" s="11"/>
      <c r="B203" s="6"/>
      <c r="C203" s="11"/>
      <c r="D203" s="11"/>
      <c r="E203" s="8" t="str">
        <f aca="false">IF($A203="","",SUMIFS($C:$C,$A:$A,$H203,$B:$B,"&gt;="&amp;INT($B203),$B:$B,"&lt;"&amp;(INT($B203)+1)))</f>
        <v/>
      </c>
      <c r="F203" s="19" t="str">
        <f aca="false">IF($A203="","",IF(ISNA(MATCH($H203,Buffers!$AE:$AE,0)),"Not on Buffers",IF(NOT(ISNUMBER($B203)),"Needs a date",IF(INT($B203)&lt;PlanDate,"Past due",IF(INT($B203)=PlanDate,"Due today",IF(AND(INDEX(Buffers!$L:$L,MATCH($H203,Buffers!$AE:$AE,0))="Planned",$E203&gt;0,INT($B203)&lt;=PlanDate+ROUNDUP(IF(ISNUMBER(SpikeHorizon),SpikeHorizon,INDEX(Buffers!$D:$D,MATCH($H203,Buffers!$AE:$AE,0))),0),$E203&gt;=SpikePct*INDEX(Buffers!$P:$P,MATCH($H203,Buffers!$AE:$AE,0))),"Spike","Not qualified"))))))</f>
        <v/>
      </c>
      <c r="G203" s="8" t="str">
        <f aca="false">IF($A203="","",IF(OR($F203="Past due",$F203="Due today",$F203="Spike"),$C203,0))</f>
        <v/>
      </c>
      <c r="H203" s="8" t="str">
        <f aca="false">IF($A203="","",SUBSTITUTE(SUBSTITUTE(SUBSTITUTE($A203&amp;"","~","~~"),"*","~*"),"?","~?"))</f>
        <v/>
      </c>
    </row>
    <row r="204" customFormat="false" ht="15" hidden="false" customHeight="false" outlineLevel="0" collapsed="false">
      <c r="A204" s="11"/>
      <c r="B204" s="6"/>
      <c r="C204" s="11"/>
      <c r="D204" s="11"/>
      <c r="E204" s="8" t="str">
        <f aca="false">IF($A204="","",SUMIFS($C:$C,$A:$A,$H204,$B:$B,"&gt;="&amp;INT($B204),$B:$B,"&lt;"&amp;(INT($B204)+1)))</f>
        <v/>
      </c>
      <c r="F204" s="19" t="str">
        <f aca="false">IF($A204="","",IF(ISNA(MATCH($H204,Buffers!$AE:$AE,0)),"Not on Buffers",IF(NOT(ISNUMBER($B204)),"Needs a date",IF(INT($B204)&lt;PlanDate,"Past due",IF(INT($B204)=PlanDate,"Due today",IF(AND(INDEX(Buffers!$L:$L,MATCH($H204,Buffers!$AE:$AE,0))="Planned",$E204&gt;0,INT($B204)&lt;=PlanDate+ROUNDUP(IF(ISNUMBER(SpikeHorizon),SpikeHorizon,INDEX(Buffers!$D:$D,MATCH($H204,Buffers!$AE:$AE,0))),0),$E204&gt;=SpikePct*INDEX(Buffers!$P:$P,MATCH($H204,Buffers!$AE:$AE,0))),"Spike","Not qualified"))))))</f>
        <v/>
      </c>
      <c r="G204" s="8" t="str">
        <f aca="false">IF($A204="","",IF(OR($F204="Past due",$F204="Due today",$F204="Spike"),$C204,0))</f>
        <v/>
      </c>
      <c r="H204" s="8" t="str">
        <f aca="false">IF($A204="","",SUBSTITUTE(SUBSTITUTE(SUBSTITUTE($A204&amp;"","~","~~"),"*","~*"),"?","~?"))</f>
        <v/>
      </c>
    </row>
    <row r="205" customFormat="false" ht="15" hidden="false" customHeight="false" outlineLevel="0" collapsed="false">
      <c r="A205" s="11"/>
      <c r="B205" s="6"/>
      <c r="C205" s="11"/>
      <c r="D205" s="11"/>
      <c r="E205" s="8" t="str">
        <f aca="false">IF($A205="","",SUMIFS($C:$C,$A:$A,$H205,$B:$B,"&gt;="&amp;INT($B205),$B:$B,"&lt;"&amp;(INT($B205)+1)))</f>
        <v/>
      </c>
      <c r="F205" s="19" t="str">
        <f aca="false">IF($A205="","",IF(ISNA(MATCH($H205,Buffers!$AE:$AE,0)),"Not on Buffers",IF(NOT(ISNUMBER($B205)),"Needs a date",IF(INT($B205)&lt;PlanDate,"Past due",IF(INT($B205)=PlanDate,"Due today",IF(AND(INDEX(Buffers!$L:$L,MATCH($H205,Buffers!$AE:$AE,0))="Planned",$E205&gt;0,INT($B205)&lt;=PlanDate+ROUNDUP(IF(ISNUMBER(SpikeHorizon),SpikeHorizon,INDEX(Buffers!$D:$D,MATCH($H205,Buffers!$AE:$AE,0))),0),$E205&gt;=SpikePct*INDEX(Buffers!$P:$P,MATCH($H205,Buffers!$AE:$AE,0))),"Spike","Not qualified"))))))</f>
        <v/>
      </c>
      <c r="G205" s="8" t="str">
        <f aca="false">IF($A205="","",IF(OR($F205="Past due",$F205="Due today",$F205="Spike"),$C205,0))</f>
        <v/>
      </c>
      <c r="H205" s="8" t="str">
        <f aca="false">IF($A205="","",SUBSTITUTE(SUBSTITUTE(SUBSTITUTE($A205&amp;"","~","~~"),"*","~*"),"?","~?"))</f>
        <v/>
      </c>
    </row>
    <row r="206" customFormat="false" ht="15" hidden="false" customHeight="false" outlineLevel="0" collapsed="false">
      <c r="A206" s="11"/>
      <c r="B206" s="6"/>
      <c r="C206" s="11"/>
      <c r="D206" s="11"/>
      <c r="E206" s="8" t="str">
        <f aca="false">IF($A206="","",SUMIFS($C:$C,$A:$A,$H206,$B:$B,"&gt;="&amp;INT($B206),$B:$B,"&lt;"&amp;(INT($B206)+1)))</f>
        <v/>
      </c>
      <c r="F206" s="19" t="str">
        <f aca="false">IF($A206="","",IF(ISNA(MATCH($H206,Buffers!$AE:$AE,0)),"Not on Buffers",IF(NOT(ISNUMBER($B206)),"Needs a date",IF(INT($B206)&lt;PlanDate,"Past due",IF(INT($B206)=PlanDate,"Due today",IF(AND(INDEX(Buffers!$L:$L,MATCH($H206,Buffers!$AE:$AE,0))="Planned",$E206&gt;0,INT($B206)&lt;=PlanDate+ROUNDUP(IF(ISNUMBER(SpikeHorizon),SpikeHorizon,INDEX(Buffers!$D:$D,MATCH($H206,Buffers!$AE:$AE,0))),0),$E206&gt;=SpikePct*INDEX(Buffers!$P:$P,MATCH($H206,Buffers!$AE:$AE,0))),"Spike","Not qualified"))))))</f>
        <v/>
      </c>
      <c r="G206" s="8" t="str">
        <f aca="false">IF($A206="","",IF(OR($F206="Past due",$F206="Due today",$F206="Spike"),$C206,0))</f>
        <v/>
      </c>
      <c r="H206" s="8" t="str">
        <f aca="false">IF($A206="","",SUBSTITUTE(SUBSTITUTE(SUBSTITUTE($A206&amp;"","~","~~"),"*","~*"),"?","~?"))</f>
        <v/>
      </c>
    </row>
    <row r="207" customFormat="false" ht="15" hidden="false" customHeight="false" outlineLevel="0" collapsed="false">
      <c r="A207" s="11"/>
      <c r="B207" s="6"/>
      <c r="C207" s="11"/>
      <c r="D207" s="11"/>
      <c r="E207" s="8" t="str">
        <f aca="false">IF($A207="","",SUMIFS($C:$C,$A:$A,$H207,$B:$B,"&gt;="&amp;INT($B207),$B:$B,"&lt;"&amp;(INT($B207)+1)))</f>
        <v/>
      </c>
      <c r="F207" s="19" t="str">
        <f aca="false">IF($A207="","",IF(ISNA(MATCH($H207,Buffers!$AE:$AE,0)),"Not on Buffers",IF(NOT(ISNUMBER($B207)),"Needs a date",IF(INT($B207)&lt;PlanDate,"Past due",IF(INT($B207)=PlanDate,"Due today",IF(AND(INDEX(Buffers!$L:$L,MATCH($H207,Buffers!$AE:$AE,0))="Planned",$E207&gt;0,INT($B207)&lt;=PlanDate+ROUNDUP(IF(ISNUMBER(SpikeHorizon),SpikeHorizon,INDEX(Buffers!$D:$D,MATCH($H207,Buffers!$AE:$AE,0))),0),$E207&gt;=SpikePct*INDEX(Buffers!$P:$P,MATCH($H207,Buffers!$AE:$AE,0))),"Spike","Not qualified"))))))</f>
        <v/>
      </c>
      <c r="G207" s="8" t="str">
        <f aca="false">IF($A207="","",IF(OR($F207="Past due",$F207="Due today",$F207="Spike"),$C207,0))</f>
        <v/>
      </c>
      <c r="H207" s="8" t="str">
        <f aca="false">IF($A207="","",SUBSTITUTE(SUBSTITUTE(SUBSTITUTE($A207&amp;"","~","~~"),"*","~*"),"?","~?"))</f>
        <v/>
      </c>
    </row>
    <row r="208" customFormat="false" ht="15" hidden="false" customHeight="false" outlineLevel="0" collapsed="false">
      <c r="A208" s="11"/>
      <c r="B208" s="6"/>
      <c r="C208" s="11"/>
      <c r="D208" s="11"/>
      <c r="E208" s="8" t="str">
        <f aca="false">IF($A208="","",SUMIFS($C:$C,$A:$A,$H208,$B:$B,"&gt;="&amp;INT($B208),$B:$B,"&lt;"&amp;(INT($B208)+1)))</f>
        <v/>
      </c>
      <c r="F208" s="19" t="str">
        <f aca="false">IF($A208="","",IF(ISNA(MATCH($H208,Buffers!$AE:$AE,0)),"Not on Buffers",IF(NOT(ISNUMBER($B208)),"Needs a date",IF(INT($B208)&lt;PlanDate,"Past due",IF(INT($B208)=PlanDate,"Due today",IF(AND(INDEX(Buffers!$L:$L,MATCH($H208,Buffers!$AE:$AE,0))="Planned",$E208&gt;0,INT($B208)&lt;=PlanDate+ROUNDUP(IF(ISNUMBER(SpikeHorizon),SpikeHorizon,INDEX(Buffers!$D:$D,MATCH($H208,Buffers!$AE:$AE,0))),0),$E208&gt;=SpikePct*INDEX(Buffers!$P:$P,MATCH($H208,Buffers!$AE:$AE,0))),"Spike","Not qualified"))))))</f>
        <v/>
      </c>
      <c r="G208" s="8" t="str">
        <f aca="false">IF($A208="","",IF(OR($F208="Past due",$F208="Due today",$F208="Spike"),$C208,0))</f>
        <v/>
      </c>
      <c r="H208" s="8" t="str">
        <f aca="false">IF($A208="","",SUBSTITUTE(SUBSTITUTE(SUBSTITUTE($A208&amp;"","~","~~"),"*","~*"),"?","~?"))</f>
        <v/>
      </c>
    </row>
    <row r="209" customFormat="false" ht="15" hidden="false" customHeight="false" outlineLevel="0" collapsed="false">
      <c r="A209" s="11"/>
      <c r="B209" s="6"/>
      <c r="C209" s="11"/>
      <c r="D209" s="11"/>
      <c r="E209" s="8" t="str">
        <f aca="false">IF($A209="","",SUMIFS($C:$C,$A:$A,$H209,$B:$B,"&gt;="&amp;INT($B209),$B:$B,"&lt;"&amp;(INT($B209)+1)))</f>
        <v/>
      </c>
      <c r="F209" s="19" t="str">
        <f aca="false">IF($A209="","",IF(ISNA(MATCH($H209,Buffers!$AE:$AE,0)),"Not on Buffers",IF(NOT(ISNUMBER($B209)),"Needs a date",IF(INT($B209)&lt;PlanDate,"Past due",IF(INT($B209)=PlanDate,"Due today",IF(AND(INDEX(Buffers!$L:$L,MATCH($H209,Buffers!$AE:$AE,0))="Planned",$E209&gt;0,INT($B209)&lt;=PlanDate+ROUNDUP(IF(ISNUMBER(SpikeHorizon),SpikeHorizon,INDEX(Buffers!$D:$D,MATCH($H209,Buffers!$AE:$AE,0))),0),$E209&gt;=SpikePct*INDEX(Buffers!$P:$P,MATCH($H209,Buffers!$AE:$AE,0))),"Spike","Not qualified"))))))</f>
        <v/>
      </c>
      <c r="G209" s="8" t="str">
        <f aca="false">IF($A209="","",IF(OR($F209="Past due",$F209="Due today",$F209="Spike"),$C209,0))</f>
        <v/>
      </c>
      <c r="H209" s="8" t="str">
        <f aca="false">IF($A209="","",SUBSTITUTE(SUBSTITUTE(SUBSTITUTE($A209&amp;"","~","~~"),"*","~*"),"?","~?"))</f>
        <v/>
      </c>
    </row>
    <row r="210" customFormat="false" ht="15" hidden="false" customHeight="false" outlineLevel="0" collapsed="false">
      <c r="A210" s="11"/>
      <c r="B210" s="6"/>
      <c r="C210" s="11"/>
      <c r="D210" s="11"/>
      <c r="E210" s="8" t="str">
        <f aca="false">IF($A210="","",SUMIFS($C:$C,$A:$A,$H210,$B:$B,"&gt;="&amp;INT($B210),$B:$B,"&lt;"&amp;(INT($B210)+1)))</f>
        <v/>
      </c>
      <c r="F210" s="19" t="str">
        <f aca="false">IF($A210="","",IF(ISNA(MATCH($H210,Buffers!$AE:$AE,0)),"Not on Buffers",IF(NOT(ISNUMBER($B210)),"Needs a date",IF(INT($B210)&lt;PlanDate,"Past due",IF(INT($B210)=PlanDate,"Due today",IF(AND(INDEX(Buffers!$L:$L,MATCH($H210,Buffers!$AE:$AE,0))="Planned",$E210&gt;0,INT($B210)&lt;=PlanDate+ROUNDUP(IF(ISNUMBER(SpikeHorizon),SpikeHorizon,INDEX(Buffers!$D:$D,MATCH($H210,Buffers!$AE:$AE,0))),0),$E210&gt;=SpikePct*INDEX(Buffers!$P:$P,MATCH($H210,Buffers!$AE:$AE,0))),"Spike","Not qualified"))))))</f>
        <v/>
      </c>
      <c r="G210" s="8" t="str">
        <f aca="false">IF($A210="","",IF(OR($F210="Past due",$F210="Due today",$F210="Spike"),$C210,0))</f>
        <v/>
      </c>
      <c r="H210" s="8" t="str">
        <f aca="false">IF($A210="","",SUBSTITUTE(SUBSTITUTE(SUBSTITUTE($A210&amp;"","~","~~"),"*","~*"),"?","~?"))</f>
        <v/>
      </c>
    </row>
    <row r="211" customFormat="false" ht="15" hidden="false" customHeight="false" outlineLevel="0" collapsed="false">
      <c r="A211" s="11"/>
      <c r="B211" s="6"/>
      <c r="C211" s="11"/>
      <c r="D211" s="11"/>
      <c r="E211" s="8" t="str">
        <f aca="false">IF($A211="","",SUMIFS($C:$C,$A:$A,$H211,$B:$B,"&gt;="&amp;INT($B211),$B:$B,"&lt;"&amp;(INT($B211)+1)))</f>
        <v/>
      </c>
      <c r="F211" s="19" t="str">
        <f aca="false">IF($A211="","",IF(ISNA(MATCH($H211,Buffers!$AE:$AE,0)),"Not on Buffers",IF(NOT(ISNUMBER($B211)),"Needs a date",IF(INT($B211)&lt;PlanDate,"Past due",IF(INT($B211)=PlanDate,"Due today",IF(AND(INDEX(Buffers!$L:$L,MATCH($H211,Buffers!$AE:$AE,0))="Planned",$E211&gt;0,INT($B211)&lt;=PlanDate+ROUNDUP(IF(ISNUMBER(SpikeHorizon),SpikeHorizon,INDEX(Buffers!$D:$D,MATCH($H211,Buffers!$AE:$AE,0))),0),$E211&gt;=SpikePct*INDEX(Buffers!$P:$P,MATCH($H211,Buffers!$AE:$AE,0))),"Spike","Not qualified"))))))</f>
        <v/>
      </c>
      <c r="G211" s="8" t="str">
        <f aca="false">IF($A211="","",IF(OR($F211="Past due",$F211="Due today",$F211="Spike"),$C211,0))</f>
        <v/>
      </c>
      <c r="H211" s="8" t="str">
        <f aca="false">IF($A211="","",SUBSTITUTE(SUBSTITUTE(SUBSTITUTE($A211&amp;"","~","~~"),"*","~*"),"?","~?"))</f>
        <v/>
      </c>
    </row>
    <row r="212" customFormat="false" ht="15" hidden="false" customHeight="false" outlineLevel="0" collapsed="false">
      <c r="A212" s="11"/>
      <c r="B212" s="6"/>
      <c r="C212" s="11"/>
      <c r="D212" s="11"/>
      <c r="E212" s="8" t="str">
        <f aca="false">IF($A212="","",SUMIFS($C:$C,$A:$A,$H212,$B:$B,"&gt;="&amp;INT($B212),$B:$B,"&lt;"&amp;(INT($B212)+1)))</f>
        <v/>
      </c>
      <c r="F212" s="19" t="str">
        <f aca="false">IF($A212="","",IF(ISNA(MATCH($H212,Buffers!$AE:$AE,0)),"Not on Buffers",IF(NOT(ISNUMBER($B212)),"Needs a date",IF(INT($B212)&lt;PlanDate,"Past due",IF(INT($B212)=PlanDate,"Due today",IF(AND(INDEX(Buffers!$L:$L,MATCH($H212,Buffers!$AE:$AE,0))="Planned",$E212&gt;0,INT($B212)&lt;=PlanDate+ROUNDUP(IF(ISNUMBER(SpikeHorizon),SpikeHorizon,INDEX(Buffers!$D:$D,MATCH($H212,Buffers!$AE:$AE,0))),0),$E212&gt;=SpikePct*INDEX(Buffers!$P:$P,MATCH($H212,Buffers!$AE:$AE,0))),"Spike","Not qualified"))))))</f>
        <v/>
      </c>
      <c r="G212" s="8" t="str">
        <f aca="false">IF($A212="","",IF(OR($F212="Past due",$F212="Due today",$F212="Spike"),$C212,0))</f>
        <v/>
      </c>
      <c r="H212" s="8" t="str">
        <f aca="false">IF($A212="","",SUBSTITUTE(SUBSTITUTE(SUBSTITUTE($A212&amp;"","~","~~"),"*","~*"),"?","~?"))</f>
        <v/>
      </c>
    </row>
    <row r="213" customFormat="false" ht="15" hidden="false" customHeight="false" outlineLevel="0" collapsed="false">
      <c r="A213" s="11"/>
      <c r="B213" s="6"/>
      <c r="C213" s="11"/>
      <c r="D213" s="11"/>
      <c r="E213" s="8" t="str">
        <f aca="false">IF($A213="","",SUMIFS($C:$C,$A:$A,$H213,$B:$B,"&gt;="&amp;INT($B213),$B:$B,"&lt;"&amp;(INT($B213)+1)))</f>
        <v/>
      </c>
      <c r="F213" s="19" t="str">
        <f aca="false">IF($A213="","",IF(ISNA(MATCH($H213,Buffers!$AE:$AE,0)),"Not on Buffers",IF(NOT(ISNUMBER($B213)),"Needs a date",IF(INT($B213)&lt;PlanDate,"Past due",IF(INT($B213)=PlanDate,"Due today",IF(AND(INDEX(Buffers!$L:$L,MATCH($H213,Buffers!$AE:$AE,0))="Planned",$E213&gt;0,INT($B213)&lt;=PlanDate+ROUNDUP(IF(ISNUMBER(SpikeHorizon),SpikeHorizon,INDEX(Buffers!$D:$D,MATCH($H213,Buffers!$AE:$AE,0))),0),$E213&gt;=SpikePct*INDEX(Buffers!$P:$P,MATCH($H213,Buffers!$AE:$AE,0))),"Spike","Not qualified"))))))</f>
        <v/>
      </c>
      <c r="G213" s="8" t="str">
        <f aca="false">IF($A213="","",IF(OR($F213="Past due",$F213="Due today",$F213="Spike"),$C213,0))</f>
        <v/>
      </c>
      <c r="H213" s="8" t="str">
        <f aca="false">IF($A213="","",SUBSTITUTE(SUBSTITUTE(SUBSTITUTE($A213&amp;"","~","~~"),"*","~*"),"?","~?"))</f>
        <v/>
      </c>
    </row>
    <row r="214" customFormat="false" ht="15" hidden="false" customHeight="false" outlineLevel="0" collapsed="false">
      <c r="A214" s="11"/>
      <c r="B214" s="6"/>
      <c r="C214" s="11"/>
      <c r="D214" s="11"/>
      <c r="E214" s="8" t="str">
        <f aca="false">IF($A214="","",SUMIFS($C:$C,$A:$A,$H214,$B:$B,"&gt;="&amp;INT($B214),$B:$B,"&lt;"&amp;(INT($B214)+1)))</f>
        <v/>
      </c>
      <c r="F214" s="19" t="str">
        <f aca="false">IF($A214="","",IF(ISNA(MATCH($H214,Buffers!$AE:$AE,0)),"Not on Buffers",IF(NOT(ISNUMBER($B214)),"Needs a date",IF(INT($B214)&lt;PlanDate,"Past due",IF(INT($B214)=PlanDate,"Due today",IF(AND(INDEX(Buffers!$L:$L,MATCH($H214,Buffers!$AE:$AE,0))="Planned",$E214&gt;0,INT($B214)&lt;=PlanDate+ROUNDUP(IF(ISNUMBER(SpikeHorizon),SpikeHorizon,INDEX(Buffers!$D:$D,MATCH($H214,Buffers!$AE:$AE,0))),0),$E214&gt;=SpikePct*INDEX(Buffers!$P:$P,MATCH($H214,Buffers!$AE:$AE,0))),"Spike","Not qualified"))))))</f>
        <v/>
      </c>
      <c r="G214" s="8" t="str">
        <f aca="false">IF($A214="","",IF(OR($F214="Past due",$F214="Due today",$F214="Spike"),$C214,0))</f>
        <v/>
      </c>
      <c r="H214" s="8" t="str">
        <f aca="false">IF($A214="","",SUBSTITUTE(SUBSTITUTE(SUBSTITUTE($A214&amp;"","~","~~"),"*","~*"),"?","~?"))</f>
        <v/>
      </c>
    </row>
    <row r="215" customFormat="false" ht="15" hidden="false" customHeight="false" outlineLevel="0" collapsed="false">
      <c r="A215" s="11"/>
      <c r="B215" s="6"/>
      <c r="C215" s="11"/>
      <c r="D215" s="11"/>
      <c r="E215" s="8" t="str">
        <f aca="false">IF($A215="","",SUMIFS($C:$C,$A:$A,$H215,$B:$B,"&gt;="&amp;INT($B215),$B:$B,"&lt;"&amp;(INT($B215)+1)))</f>
        <v/>
      </c>
      <c r="F215" s="19" t="str">
        <f aca="false">IF($A215="","",IF(ISNA(MATCH($H215,Buffers!$AE:$AE,0)),"Not on Buffers",IF(NOT(ISNUMBER($B215)),"Needs a date",IF(INT($B215)&lt;PlanDate,"Past due",IF(INT($B215)=PlanDate,"Due today",IF(AND(INDEX(Buffers!$L:$L,MATCH($H215,Buffers!$AE:$AE,0))="Planned",$E215&gt;0,INT($B215)&lt;=PlanDate+ROUNDUP(IF(ISNUMBER(SpikeHorizon),SpikeHorizon,INDEX(Buffers!$D:$D,MATCH($H215,Buffers!$AE:$AE,0))),0),$E215&gt;=SpikePct*INDEX(Buffers!$P:$P,MATCH($H215,Buffers!$AE:$AE,0))),"Spike","Not qualified"))))))</f>
        <v/>
      </c>
      <c r="G215" s="8" t="str">
        <f aca="false">IF($A215="","",IF(OR($F215="Past due",$F215="Due today",$F215="Spike"),$C215,0))</f>
        <v/>
      </c>
      <c r="H215" s="8" t="str">
        <f aca="false">IF($A215="","",SUBSTITUTE(SUBSTITUTE(SUBSTITUTE($A215&amp;"","~","~~"),"*","~*"),"?","~?"))</f>
        <v/>
      </c>
    </row>
    <row r="216" customFormat="false" ht="15" hidden="false" customHeight="false" outlineLevel="0" collapsed="false">
      <c r="A216" s="11"/>
      <c r="B216" s="6"/>
      <c r="C216" s="11"/>
      <c r="D216" s="11"/>
      <c r="E216" s="8" t="str">
        <f aca="false">IF($A216="","",SUMIFS($C:$C,$A:$A,$H216,$B:$B,"&gt;="&amp;INT($B216),$B:$B,"&lt;"&amp;(INT($B216)+1)))</f>
        <v/>
      </c>
      <c r="F216" s="19" t="str">
        <f aca="false">IF($A216="","",IF(ISNA(MATCH($H216,Buffers!$AE:$AE,0)),"Not on Buffers",IF(NOT(ISNUMBER($B216)),"Needs a date",IF(INT($B216)&lt;PlanDate,"Past due",IF(INT($B216)=PlanDate,"Due today",IF(AND(INDEX(Buffers!$L:$L,MATCH($H216,Buffers!$AE:$AE,0))="Planned",$E216&gt;0,INT($B216)&lt;=PlanDate+ROUNDUP(IF(ISNUMBER(SpikeHorizon),SpikeHorizon,INDEX(Buffers!$D:$D,MATCH($H216,Buffers!$AE:$AE,0))),0),$E216&gt;=SpikePct*INDEX(Buffers!$P:$P,MATCH($H216,Buffers!$AE:$AE,0))),"Spike","Not qualified"))))))</f>
        <v/>
      </c>
      <c r="G216" s="8" t="str">
        <f aca="false">IF($A216="","",IF(OR($F216="Past due",$F216="Due today",$F216="Spike"),$C216,0))</f>
        <v/>
      </c>
      <c r="H216" s="8" t="str">
        <f aca="false">IF($A216="","",SUBSTITUTE(SUBSTITUTE(SUBSTITUTE($A216&amp;"","~","~~"),"*","~*"),"?","~?"))</f>
        <v/>
      </c>
    </row>
    <row r="217" customFormat="false" ht="15" hidden="false" customHeight="false" outlineLevel="0" collapsed="false">
      <c r="A217" s="11"/>
      <c r="B217" s="6"/>
      <c r="C217" s="11"/>
      <c r="D217" s="11"/>
      <c r="E217" s="8" t="str">
        <f aca="false">IF($A217="","",SUMIFS($C:$C,$A:$A,$H217,$B:$B,"&gt;="&amp;INT($B217),$B:$B,"&lt;"&amp;(INT($B217)+1)))</f>
        <v/>
      </c>
      <c r="F217" s="19" t="str">
        <f aca="false">IF($A217="","",IF(ISNA(MATCH($H217,Buffers!$AE:$AE,0)),"Not on Buffers",IF(NOT(ISNUMBER($B217)),"Needs a date",IF(INT($B217)&lt;PlanDate,"Past due",IF(INT($B217)=PlanDate,"Due today",IF(AND(INDEX(Buffers!$L:$L,MATCH($H217,Buffers!$AE:$AE,0))="Planned",$E217&gt;0,INT($B217)&lt;=PlanDate+ROUNDUP(IF(ISNUMBER(SpikeHorizon),SpikeHorizon,INDEX(Buffers!$D:$D,MATCH($H217,Buffers!$AE:$AE,0))),0),$E217&gt;=SpikePct*INDEX(Buffers!$P:$P,MATCH($H217,Buffers!$AE:$AE,0))),"Spike","Not qualified"))))))</f>
        <v/>
      </c>
      <c r="G217" s="8" t="str">
        <f aca="false">IF($A217="","",IF(OR($F217="Past due",$F217="Due today",$F217="Spike"),$C217,0))</f>
        <v/>
      </c>
      <c r="H217" s="8" t="str">
        <f aca="false">IF($A217="","",SUBSTITUTE(SUBSTITUTE(SUBSTITUTE($A217&amp;"","~","~~"),"*","~*"),"?","~?"))</f>
        <v/>
      </c>
    </row>
    <row r="218" customFormat="false" ht="15" hidden="false" customHeight="false" outlineLevel="0" collapsed="false">
      <c r="A218" s="11"/>
      <c r="B218" s="6"/>
      <c r="C218" s="11"/>
      <c r="D218" s="11"/>
      <c r="E218" s="8" t="str">
        <f aca="false">IF($A218="","",SUMIFS($C:$C,$A:$A,$H218,$B:$B,"&gt;="&amp;INT($B218),$B:$B,"&lt;"&amp;(INT($B218)+1)))</f>
        <v/>
      </c>
      <c r="F218" s="19" t="str">
        <f aca="false">IF($A218="","",IF(ISNA(MATCH($H218,Buffers!$AE:$AE,0)),"Not on Buffers",IF(NOT(ISNUMBER($B218)),"Needs a date",IF(INT($B218)&lt;PlanDate,"Past due",IF(INT($B218)=PlanDate,"Due today",IF(AND(INDEX(Buffers!$L:$L,MATCH($H218,Buffers!$AE:$AE,0))="Planned",$E218&gt;0,INT($B218)&lt;=PlanDate+ROUNDUP(IF(ISNUMBER(SpikeHorizon),SpikeHorizon,INDEX(Buffers!$D:$D,MATCH($H218,Buffers!$AE:$AE,0))),0),$E218&gt;=SpikePct*INDEX(Buffers!$P:$P,MATCH($H218,Buffers!$AE:$AE,0))),"Spike","Not qualified"))))))</f>
        <v/>
      </c>
      <c r="G218" s="8" t="str">
        <f aca="false">IF($A218="","",IF(OR($F218="Past due",$F218="Due today",$F218="Spike"),$C218,0))</f>
        <v/>
      </c>
      <c r="H218" s="8" t="str">
        <f aca="false">IF($A218="","",SUBSTITUTE(SUBSTITUTE(SUBSTITUTE($A218&amp;"","~","~~"),"*","~*"),"?","~?"))</f>
        <v/>
      </c>
    </row>
    <row r="219" customFormat="false" ht="15" hidden="false" customHeight="false" outlineLevel="0" collapsed="false">
      <c r="A219" s="11"/>
      <c r="B219" s="6"/>
      <c r="C219" s="11"/>
      <c r="D219" s="11"/>
      <c r="E219" s="8" t="str">
        <f aca="false">IF($A219="","",SUMIFS($C:$C,$A:$A,$H219,$B:$B,"&gt;="&amp;INT($B219),$B:$B,"&lt;"&amp;(INT($B219)+1)))</f>
        <v/>
      </c>
      <c r="F219" s="19" t="str">
        <f aca="false">IF($A219="","",IF(ISNA(MATCH($H219,Buffers!$AE:$AE,0)),"Not on Buffers",IF(NOT(ISNUMBER($B219)),"Needs a date",IF(INT($B219)&lt;PlanDate,"Past due",IF(INT($B219)=PlanDate,"Due today",IF(AND(INDEX(Buffers!$L:$L,MATCH($H219,Buffers!$AE:$AE,0))="Planned",$E219&gt;0,INT($B219)&lt;=PlanDate+ROUNDUP(IF(ISNUMBER(SpikeHorizon),SpikeHorizon,INDEX(Buffers!$D:$D,MATCH($H219,Buffers!$AE:$AE,0))),0),$E219&gt;=SpikePct*INDEX(Buffers!$P:$P,MATCH($H219,Buffers!$AE:$AE,0))),"Spike","Not qualified"))))))</f>
        <v/>
      </c>
      <c r="G219" s="8" t="str">
        <f aca="false">IF($A219="","",IF(OR($F219="Past due",$F219="Due today",$F219="Spike"),$C219,0))</f>
        <v/>
      </c>
      <c r="H219" s="8" t="str">
        <f aca="false">IF($A219="","",SUBSTITUTE(SUBSTITUTE(SUBSTITUTE($A219&amp;"","~","~~"),"*","~*"),"?","~?"))</f>
        <v/>
      </c>
    </row>
    <row r="220" customFormat="false" ht="15" hidden="false" customHeight="false" outlineLevel="0" collapsed="false">
      <c r="A220" s="11"/>
      <c r="B220" s="6"/>
      <c r="C220" s="11"/>
      <c r="D220" s="11"/>
      <c r="E220" s="8" t="str">
        <f aca="false">IF($A220="","",SUMIFS($C:$C,$A:$A,$H220,$B:$B,"&gt;="&amp;INT($B220),$B:$B,"&lt;"&amp;(INT($B220)+1)))</f>
        <v/>
      </c>
      <c r="F220" s="19" t="str">
        <f aca="false">IF($A220="","",IF(ISNA(MATCH($H220,Buffers!$AE:$AE,0)),"Not on Buffers",IF(NOT(ISNUMBER($B220)),"Needs a date",IF(INT($B220)&lt;PlanDate,"Past due",IF(INT($B220)=PlanDate,"Due today",IF(AND(INDEX(Buffers!$L:$L,MATCH($H220,Buffers!$AE:$AE,0))="Planned",$E220&gt;0,INT($B220)&lt;=PlanDate+ROUNDUP(IF(ISNUMBER(SpikeHorizon),SpikeHorizon,INDEX(Buffers!$D:$D,MATCH($H220,Buffers!$AE:$AE,0))),0),$E220&gt;=SpikePct*INDEX(Buffers!$P:$P,MATCH($H220,Buffers!$AE:$AE,0))),"Spike","Not qualified"))))))</f>
        <v/>
      </c>
      <c r="G220" s="8" t="str">
        <f aca="false">IF($A220="","",IF(OR($F220="Past due",$F220="Due today",$F220="Spike"),$C220,0))</f>
        <v/>
      </c>
      <c r="H220" s="8" t="str">
        <f aca="false">IF($A220="","",SUBSTITUTE(SUBSTITUTE(SUBSTITUTE($A220&amp;"","~","~~"),"*","~*"),"?","~?"))</f>
        <v/>
      </c>
    </row>
    <row r="221" customFormat="false" ht="15" hidden="false" customHeight="false" outlineLevel="0" collapsed="false">
      <c r="A221" s="11"/>
      <c r="B221" s="6"/>
      <c r="C221" s="11"/>
      <c r="D221" s="11"/>
      <c r="E221" s="8" t="str">
        <f aca="false">IF($A221="","",SUMIFS($C:$C,$A:$A,$H221,$B:$B,"&gt;="&amp;INT($B221),$B:$B,"&lt;"&amp;(INT($B221)+1)))</f>
        <v/>
      </c>
      <c r="F221" s="19" t="str">
        <f aca="false">IF($A221="","",IF(ISNA(MATCH($H221,Buffers!$AE:$AE,0)),"Not on Buffers",IF(NOT(ISNUMBER($B221)),"Needs a date",IF(INT($B221)&lt;PlanDate,"Past due",IF(INT($B221)=PlanDate,"Due today",IF(AND(INDEX(Buffers!$L:$L,MATCH($H221,Buffers!$AE:$AE,0))="Planned",$E221&gt;0,INT($B221)&lt;=PlanDate+ROUNDUP(IF(ISNUMBER(SpikeHorizon),SpikeHorizon,INDEX(Buffers!$D:$D,MATCH($H221,Buffers!$AE:$AE,0))),0),$E221&gt;=SpikePct*INDEX(Buffers!$P:$P,MATCH($H221,Buffers!$AE:$AE,0))),"Spike","Not qualified"))))))</f>
        <v/>
      </c>
      <c r="G221" s="8" t="str">
        <f aca="false">IF($A221="","",IF(OR($F221="Past due",$F221="Due today",$F221="Spike"),$C221,0))</f>
        <v/>
      </c>
      <c r="H221" s="8" t="str">
        <f aca="false">IF($A221="","",SUBSTITUTE(SUBSTITUTE(SUBSTITUTE($A221&amp;"","~","~~"),"*","~*"),"?","~?"))</f>
        <v/>
      </c>
    </row>
    <row r="222" customFormat="false" ht="15" hidden="false" customHeight="false" outlineLevel="0" collapsed="false">
      <c r="A222" s="11"/>
      <c r="B222" s="6"/>
      <c r="C222" s="11"/>
      <c r="D222" s="11"/>
      <c r="E222" s="8" t="str">
        <f aca="false">IF($A222="","",SUMIFS($C:$C,$A:$A,$H222,$B:$B,"&gt;="&amp;INT($B222),$B:$B,"&lt;"&amp;(INT($B222)+1)))</f>
        <v/>
      </c>
      <c r="F222" s="19" t="str">
        <f aca="false">IF($A222="","",IF(ISNA(MATCH($H222,Buffers!$AE:$AE,0)),"Not on Buffers",IF(NOT(ISNUMBER($B222)),"Needs a date",IF(INT($B222)&lt;PlanDate,"Past due",IF(INT($B222)=PlanDate,"Due today",IF(AND(INDEX(Buffers!$L:$L,MATCH($H222,Buffers!$AE:$AE,0))="Planned",$E222&gt;0,INT($B222)&lt;=PlanDate+ROUNDUP(IF(ISNUMBER(SpikeHorizon),SpikeHorizon,INDEX(Buffers!$D:$D,MATCH($H222,Buffers!$AE:$AE,0))),0),$E222&gt;=SpikePct*INDEX(Buffers!$P:$P,MATCH($H222,Buffers!$AE:$AE,0))),"Spike","Not qualified"))))))</f>
        <v/>
      </c>
      <c r="G222" s="8" t="str">
        <f aca="false">IF($A222="","",IF(OR($F222="Past due",$F222="Due today",$F222="Spike"),$C222,0))</f>
        <v/>
      </c>
      <c r="H222" s="8" t="str">
        <f aca="false">IF($A222="","",SUBSTITUTE(SUBSTITUTE(SUBSTITUTE($A222&amp;"","~","~~"),"*","~*"),"?","~?"))</f>
        <v/>
      </c>
    </row>
    <row r="223" customFormat="false" ht="15" hidden="false" customHeight="false" outlineLevel="0" collapsed="false">
      <c r="A223" s="11"/>
      <c r="B223" s="6"/>
      <c r="C223" s="11"/>
      <c r="D223" s="11"/>
      <c r="E223" s="8" t="str">
        <f aca="false">IF($A223="","",SUMIFS($C:$C,$A:$A,$H223,$B:$B,"&gt;="&amp;INT($B223),$B:$B,"&lt;"&amp;(INT($B223)+1)))</f>
        <v/>
      </c>
      <c r="F223" s="19" t="str">
        <f aca="false">IF($A223="","",IF(ISNA(MATCH($H223,Buffers!$AE:$AE,0)),"Not on Buffers",IF(NOT(ISNUMBER($B223)),"Needs a date",IF(INT($B223)&lt;PlanDate,"Past due",IF(INT($B223)=PlanDate,"Due today",IF(AND(INDEX(Buffers!$L:$L,MATCH($H223,Buffers!$AE:$AE,0))="Planned",$E223&gt;0,INT($B223)&lt;=PlanDate+ROUNDUP(IF(ISNUMBER(SpikeHorizon),SpikeHorizon,INDEX(Buffers!$D:$D,MATCH($H223,Buffers!$AE:$AE,0))),0),$E223&gt;=SpikePct*INDEX(Buffers!$P:$P,MATCH($H223,Buffers!$AE:$AE,0))),"Spike","Not qualified"))))))</f>
        <v/>
      </c>
      <c r="G223" s="8" t="str">
        <f aca="false">IF($A223="","",IF(OR($F223="Past due",$F223="Due today",$F223="Spike"),$C223,0))</f>
        <v/>
      </c>
      <c r="H223" s="8" t="str">
        <f aca="false">IF($A223="","",SUBSTITUTE(SUBSTITUTE(SUBSTITUTE($A223&amp;"","~","~~"),"*","~*"),"?","~?"))</f>
        <v/>
      </c>
    </row>
    <row r="224" customFormat="false" ht="15" hidden="false" customHeight="false" outlineLevel="0" collapsed="false">
      <c r="A224" s="11"/>
      <c r="B224" s="6"/>
      <c r="C224" s="11"/>
      <c r="D224" s="11"/>
      <c r="E224" s="8" t="str">
        <f aca="false">IF($A224="","",SUMIFS($C:$C,$A:$A,$H224,$B:$B,"&gt;="&amp;INT($B224),$B:$B,"&lt;"&amp;(INT($B224)+1)))</f>
        <v/>
      </c>
      <c r="F224" s="19" t="str">
        <f aca="false">IF($A224="","",IF(ISNA(MATCH($H224,Buffers!$AE:$AE,0)),"Not on Buffers",IF(NOT(ISNUMBER($B224)),"Needs a date",IF(INT($B224)&lt;PlanDate,"Past due",IF(INT($B224)=PlanDate,"Due today",IF(AND(INDEX(Buffers!$L:$L,MATCH($H224,Buffers!$AE:$AE,0))="Planned",$E224&gt;0,INT($B224)&lt;=PlanDate+ROUNDUP(IF(ISNUMBER(SpikeHorizon),SpikeHorizon,INDEX(Buffers!$D:$D,MATCH($H224,Buffers!$AE:$AE,0))),0),$E224&gt;=SpikePct*INDEX(Buffers!$P:$P,MATCH($H224,Buffers!$AE:$AE,0))),"Spike","Not qualified"))))))</f>
        <v/>
      </c>
      <c r="G224" s="8" t="str">
        <f aca="false">IF($A224="","",IF(OR($F224="Past due",$F224="Due today",$F224="Spike"),$C224,0))</f>
        <v/>
      </c>
      <c r="H224" s="8" t="str">
        <f aca="false">IF($A224="","",SUBSTITUTE(SUBSTITUTE(SUBSTITUTE($A224&amp;"","~","~~"),"*","~*"),"?","~?"))</f>
        <v/>
      </c>
    </row>
    <row r="225" customFormat="false" ht="15" hidden="false" customHeight="false" outlineLevel="0" collapsed="false">
      <c r="A225" s="11"/>
      <c r="B225" s="6"/>
      <c r="C225" s="11"/>
      <c r="D225" s="11"/>
      <c r="E225" s="8" t="str">
        <f aca="false">IF($A225="","",SUMIFS($C:$C,$A:$A,$H225,$B:$B,"&gt;="&amp;INT($B225),$B:$B,"&lt;"&amp;(INT($B225)+1)))</f>
        <v/>
      </c>
      <c r="F225" s="19" t="str">
        <f aca="false">IF($A225="","",IF(ISNA(MATCH($H225,Buffers!$AE:$AE,0)),"Not on Buffers",IF(NOT(ISNUMBER($B225)),"Needs a date",IF(INT($B225)&lt;PlanDate,"Past due",IF(INT($B225)=PlanDate,"Due today",IF(AND(INDEX(Buffers!$L:$L,MATCH($H225,Buffers!$AE:$AE,0))="Planned",$E225&gt;0,INT($B225)&lt;=PlanDate+ROUNDUP(IF(ISNUMBER(SpikeHorizon),SpikeHorizon,INDEX(Buffers!$D:$D,MATCH($H225,Buffers!$AE:$AE,0))),0),$E225&gt;=SpikePct*INDEX(Buffers!$P:$P,MATCH($H225,Buffers!$AE:$AE,0))),"Spike","Not qualified"))))))</f>
        <v/>
      </c>
      <c r="G225" s="8" t="str">
        <f aca="false">IF($A225="","",IF(OR($F225="Past due",$F225="Due today",$F225="Spike"),$C225,0))</f>
        <v/>
      </c>
      <c r="H225" s="8" t="str">
        <f aca="false">IF($A225="","",SUBSTITUTE(SUBSTITUTE(SUBSTITUTE($A225&amp;"","~","~~"),"*","~*"),"?","~?"))</f>
        <v/>
      </c>
    </row>
    <row r="226" customFormat="false" ht="15" hidden="false" customHeight="false" outlineLevel="0" collapsed="false">
      <c r="A226" s="11"/>
      <c r="B226" s="6"/>
      <c r="C226" s="11"/>
      <c r="D226" s="11"/>
      <c r="E226" s="8" t="str">
        <f aca="false">IF($A226="","",SUMIFS($C:$C,$A:$A,$H226,$B:$B,"&gt;="&amp;INT($B226),$B:$B,"&lt;"&amp;(INT($B226)+1)))</f>
        <v/>
      </c>
      <c r="F226" s="19" t="str">
        <f aca="false">IF($A226="","",IF(ISNA(MATCH($H226,Buffers!$AE:$AE,0)),"Not on Buffers",IF(NOT(ISNUMBER($B226)),"Needs a date",IF(INT($B226)&lt;PlanDate,"Past due",IF(INT($B226)=PlanDate,"Due today",IF(AND(INDEX(Buffers!$L:$L,MATCH($H226,Buffers!$AE:$AE,0))="Planned",$E226&gt;0,INT($B226)&lt;=PlanDate+ROUNDUP(IF(ISNUMBER(SpikeHorizon),SpikeHorizon,INDEX(Buffers!$D:$D,MATCH($H226,Buffers!$AE:$AE,0))),0),$E226&gt;=SpikePct*INDEX(Buffers!$P:$P,MATCH($H226,Buffers!$AE:$AE,0))),"Spike","Not qualified"))))))</f>
        <v/>
      </c>
      <c r="G226" s="8" t="str">
        <f aca="false">IF($A226="","",IF(OR($F226="Past due",$F226="Due today",$F226="Spike"),$C226,0))</f>
        <v/>
      </c>
      <c r="H226" s="8" t="str">
        <f aca="false">IF($A226="","",SUBSTITUTE(SUBSTITUTE(SUBSTITUTE($A226&amp;"","~","~~"),"*","~*"),"?","~?"))</f>
        <v/>
      </c>
    </row>
    <row r="227" customFormat="false" ht="15" hidden="false" customHeight="false" outlineLevel="0" collapsed="false">
      <c r="A227" s="11"/>
      <c r="B227" s="6"/>
      <c r="C227" s="11"/>
      <c r="D227" s="11"/>
      <c r="E227" s="8" t="str">
        <f aca="false">IF($A227="","",SUMIFS($C:$C,$A:$A,$H227,$B:$B,"&gt;="&amp;INT($B227),$B:$B,"&lt;"&amp;(INT($B227)+1)))</f>
        <v/>
      </c>
      <c r="F227" s="19" t="str">
        <f aca="false">IF($A227="","",IF(ISNA(MATCH($H227,Buffers!$AE:$AE,0)),"Not on Buffers",IF(NOT(ISNUMBER($B227)),"Needs a date",IF(INT($B227)&lt;PlanDate,"Past due",IF(INT($B227)=PlanDate,"Due today",IF(AND(INDEX(Buffers!$L:$L,MATCH($H227,Buffers!$AE:$AE,0))="Planned",$E227&gt;0,INT($B227)&lt;=PlanDate+ROUNDUP(IF(ISNUMBER(SpikeHorizon),SpikeHorizon,INDEX(Buffers!$D:$D,MATCH($H227,Buffers!$AE:$AE,0))),0),$E227&gt;=SpikePct*INDEX(Buffers!$P:$P,MATCH($H227,Buffers!$AE:$AE,0))),"Spike","Not qualified"))))))</f>
        <v/>
      </c>
      <c r="G227" s="8" t="str">
        <f aca="false">IF($A227="","",IF(OR($F227="Past due",$F227="Due today",$F227="Spike"),$C227,0))</f>
        <v/>
      </c>
      <c r="H227" s="8" t="str">
        <f aca="false">IF($A227="","",SUBSTITUTE(SUBSTITUTE(SUBSTITUTE($A227&amp;"","~","~~"),"*","~*"),"?","~?"))</f>
        <v/>
      </c>
    </row>
    <row r="228" customFormat="false" ht="15" hidden="false" customHeight="false" outlineLevel="0" collapsed="false">
      <c r="A228" s="11"/>
      <c r="B228" s="6"/>
      <c r="C228" s="11"/>
      <c r="D228" s="11"/>
      <c r="E228" s="8" t="str">
        <f aca="false">IF($A228="","",SUMIFS($C:$C,$A:$A,$H228,$B:$B,"&gt;="&amp;INT($B228),$B:$B,"&lt;"&amp;(INT($B228)+1)))</f>
        <v/>
      </c>
      <c r="F228" s="19" t="str">
        <f aca="false">IF($A228="","",IF(ISNA(MATCH($H228,Buffers!$AE:$AE,0)),"Not on Buffers",IF(NOT(ISNUMBER($B228)),"Needs a date",IF(INT($B228)&lt;PlanDate,"Past due",IF(INT($B228)=PlanDate,"Due today",IF(AND(INDEX(Buffers!$L:$L,MATCH($H228,Buffers!$AE:$AE,0))="Planned",$E228&gt;0,INT($B228)&lt;=PlanDate+ROUNDUP(IF(ISNUMBER(SpikeHorizon),SpikeHorizon,INDEX(Buffers!$D:$D,MATCH($H228,Buffers!$AE:$AE,0))),0),$E228&gt;=SpikePct*INDEX(Buffers!$P:$P,MATCH($H228,Buffers!$AE:$AE,0))),"Spike","Not qualified"))))))</f>
        <v/>
      </c>
      <c r="G228" s="8" t="str">
        <f aca="false">IF($A228="","",IF(OR($F228="Past due",$F228="Due today",$F228="Spike"),$C228,0))</f>
        <v/>
      </c>
      <c r="H228" s="8" t="str">
        <f aca="false">IF($A228="","",SUBSTITUTE(SUBSTITUTE(SUBSTITUTE($A228&amp;"","~","~~"),"*","~*"),"?","~?"))</f>
        <v/>
      </c>
    </row>
    <row r="229" customFormat="false" ht="15" hidden="false" customHeight="false" outlineLevel="0" collapsed="false">
      <c r="A229" s="11"/>
      <c r="B229" s="6"/>
      <c r="C229" s="11"/>
      <c r="D229" s="11"/>
      <c r="E229" s="8" t="str">
        <f aca="false">IF($A229="","",SUMIFS($C:$C,$A:$A,$H229,$B:$B,"&gt;="&amp;INT($B229),$B:$B,"&lt;"&amp;(INT($B229)+1)))</f>
        <v/>
      </c>
      <c r="F229" s="19" t="str">
        <f aca="false">IF($A229="","",IF(ISNA(MATCH($H229,Buffers!$AE:$AE,0)),"Not on Buffers",IF(NOT(ISNUMBER($B229)),"Needs a date",IF(INT($B229)&lt;PlanDate,"Past due",IF(INT($B229)=PlanDate,"Due today",IF(AND(INDEX(Buffers!$L:$L,MATCH($H229,Buffers!$AE:$AE,0))="Planned",$E229&gt;0,INT($B229)&lt;=PlanDate+ROUNDUP(IF(ISNUMBER(SpikeHorizon),SpikeHorizon,INDEX(Buffers!$D:$D,MATCH($H229,Buffers!$AE:$AE,0))),0),$E229&gt;=SpikePct*INDEX(Buffers!$P:$P,MATCH($H229,Buffers!$AE:$AE,0))),"Spike","Not qualified"))))))</f>
        <v/>
      </c>
      <c r="G229" s="8" t="str">
        <f aca="false">IF($A229="","",IF(OR($F229="Past due",$F229="Due today",$F229="Spike"),$C229,0))</f>
        <v/>
      </c>
      <c r="H229" s="8" t="str">
        <f aca="false">IF($A229="","",SUBSTITUTE(SUBSTITUTE(SUBSTITUTE($A229&amp;"","~","~~"),"*","~*"),"?","~?"))</f>
        <v/>
      </c>
    </row>
    <row r="230" customFormat="false" ht="15" hidden="false" customHeight="false" outlineLevel="0" collapsed="false">
      <c r="A230" s="11"/>
      <c r="B230" s="6"/>
      <c r="C230" s="11"/>
      <c r="D230" s="11"/>
      <c r="E230" s="8" t="str">
        <f aca="false">IF($A230="","",SUMIFS($C:$C,$A:$A,$H230,$B:$B,"&gt;="&amp;INT($B230),$B:$B,"&lt;"&amp;(INT($B230)+1)))</f>
        <v/>
      </c>
      <c r="F230" s="19" t="str">
        <f aca="false">IF($A230="","",IF(ISNA(MATCH($H230,Buffers!$AE:$AE,0)),"Not on Buffers",IF(NOT(ISNUMBER($B230)),"Needs a date",IF(INT($B230)&lt;PlanDate,"Past due",IF(INT($B230)=PlanDate,"Due today",IF(AND(INDEX(Buffers!$L:$L,MATCH($H230,Buffers!$AE:$AE,0))="Planned",$E230&gt;0,INT($B230)&lt;=PlanDate+ROUNDUP(IF(ISNUMBER(SpikeHorizon),SpikeHorizon,INDEX(Buffers!$D:$D,MATCH($H230,Buffers!$AE:$AE,0))),0),$E230&gt;=SpikePct*INDEX(Buffers!$P:$P,MATCH($H230,Buffers!$AE:$AE,0))),"Spike","Not qualified"))))))</f>
        <v/>
      </c>
      <c r="G230" s="8" t="str">
        <f aca="false">IF($A230="","",IF(OR($F230="Past due",$F230="Due today",$F230="Spike"),$C230,0))</f>
        <v/>
      </c>
      <c r="H230" s="8" t="str">
        <f aca="false">IF($A230="","",SUBSTITUTE(SUBSTITUTE(SUBSTITUTE($A230&amp;"","~","~~"),"*","~*"),"?","~?"))</f>
        <v/>
      </c>
    </row>
    <row r="231" customFormat="false" ht="15" hidden="false" customHeight="false" outlineLevel="0" collapsed="false">
      <c r="A231" s="11"/>
      <c r="B231" s="6"/>
      <c r="C231" s="11"/>
      <c r="D231" s="11"/>
      <c r="E231" s="8" t="str">
        <f aca="false">IF($A231="","",SUMIFS($C:$C,$A:$A,$H231,$B:$B,"&gt;="&amp;INT($B231),$B:$B,"&lt;"&amp;(INT($B231)+1)))</f>
        <v/>
      </c>
      <c r="F231" s="19" t="str">
        <f aca="false">IF($A231="","",IF(ISNA(MATCH($H231,Buffers!$AE:$AE,0)),"Not on Buffers",IF(NOT(ISNUMBER($B231)),"Needs a date",IF(INT($B231)&lt;PlanDate,"Past due",IF(INT($B231)=PlanDate,"Due today",IF(AND(INDEX(Buffers!$L:$L,MATCH($H231,Buffers!$AE:$AE,0))="Planned",$E231&gt;0,INT($B231)&lt;=PlanDate+ROUNDUP(IF(ISNUMBER(SpikeHorizon),SpikeHorizon,INDEX(Buffers!$D:$D,MATCH($H231,Buffers!$AE:$AE,0))),0),$E231&gt;=SpikePct*INDEX(Buffers!$P:$P,MATCH($H231,Buffers!$AE:$AE,0))),"Spike","Not qualified"))))))</f>
        <v/>
      </c>
      <c r="G231" s="8" t="str">
        <f aca="false">IF($A231="","",IF(OR($F231="Past due",$F231="Due today",$F231="Spike"),$C231,0))</f>
        <v/>
      </c>
      <c r="H231" s="8" t="str">
        <f aca="false">IF($A231="","",SUBSTITUTE(SUBSTITUTE(SUBSTITUTE($A231&amp;"","~","~~"),"*","~*"),"?","~?"))</f>
        <v/>
      </c>
    </row>
    <row r="232" customFormat="false" ht="15" hidden="false" customHeight="false" outlineLevel="0" collapsed="false">
      <c r="A232" s="11"/>
      <c r="B232" s="6"/>
      <c r="C232" s="11"/>
      <c r="D232" s="11"/>
      <c r="E232" s="8" t="str">
        <f aca="false">IF($A232="","",SUMIFS($C:$C,$A:$A,$H232,$B:$B,"&gt;="&amp;INT($B232),$B:$B,"&lt;"&amp;(INT($B232)+1)))</f>
        <v/>
      </c>
      <c r="F232" s="19" t="str">
        <f aca="false">IF($A232="","",IF(ISNA(MATCH($H232,Buffers!$AE:$AE,0)),"Not on Buffers",IF(NOT(ISNUMBER($B232)),"Needs a date",IF(INT($B232)&lt;PlanDate,"Past due",IF(INT($B232)=PlanDate,"Due today",IF(AND(INDEX(Buffers!$L:$L,MATCH($H232,Buffers!$AE:$AE,0))="Planned",$E232&gt;0,INT($B232)&lt;=PlanDate+ROUNDUP(IF(ISNUMBER(SpikeHorizon),SpikeHorizon,INDEX(Buffers!$D:$D,MATCH($H232,Buffers!$AE:$AE,0))),0),$E232&gt;=SpikePct*INDEX(Buffers!$P:$P,MATCH($H232,Buffers!$AE:$AE,0))),"Spike","Not qualified"))))))</f>
        <v/>
      </c>
      <c r="G232" s="8" t="str">
        <f aca="false">IF($A232="","",IF(OR($F232="Past due",$F232="Due today",$F232="Spike"),$C232,0))</f>
        <v/>
      </c>
      <c r="H232" s="8" t="str">
        <f aca="false">IF($A232="","",SUBSTITUTE(SUBSTITUTE(SUBSTITUTE($A232&amp;"","~","~~"),"*","~*"),"?","~?"))</f>
        <v/>
      </c>
    </row>
    <row r="233" customFormat="false" ht="15" hidden="false" customHeight="false" outlineLevel="0" collapsed="false">
      <c r="A233" s="11"/>
      <c r="B233" s="6"/>
      <c r="C233" s="11"/>
      <c r="D233" s="11"/>
      <c r="E233" s="8" t="str">
        <f aca="false">IF($A233="","",SUMIFS($C:$C,$A:$A,$H233,$B:$B,"&gt;="&amp;INT($B233),$B:$B,"&lt;"&amp;(INT($B233)+1)))</f>
        <v/>
      </c>
      <c r="F233" s="19" t="str">
        <f aca="false">IF($A233="","",IF(ISNA(MATCH($H233,Buffers!$AE:$AE,0)),"Not on Buffers",IF(NOT(ISNUMBER($B233)),"Needs a date",IF(INT($B233)&lt;PlanDate,"Past due",IF(INT($B233)=PlanDate,"Due today",IF(AND(INDEX(Buffers!$L:$L,MATCH($H233,Buffers!$AE:$AE,0))="Planned",$E233&gt;0,INT($B233)&lt;=PlanDate+ROUNDUP(IF(ISNUMBER(SpikeHorizon),SpikeHorizon,INDEX(Buffers!$D:$D,MATCH($H233,Buffers!$AE:$AE,0))),0),$E233&gt;=SpikePct*INDEX(Buffers!$P:$P,MATCH($H233,Buffers!$AE:$AE,0))),"Spike","Not qualified"))))))</f>
        <v/>
      </c>
      <c r="G233" s="8" t="str">
        <f aca="false">IF($A233="","",IF(OR($F233="Past due",$F233="Due today",$F233="Spike"),$C233,0))</f>
        <v/>
      </c>
      <c r="H233" s="8" t="str">
        <f aca="false">IF($A233="","",SUBSTITUTE(SUBSTITUTE(SUBSTITUTE($A233&amp;"","~","~~"),"*","~*"),"?","~?"))</f>
        <v/>
      </c>
    </row>
    <row r="234" customFormat="false" ht="15" hidden="false" customHeight="false" outlineLevel="0" collapsed="false">
      <c r="A234" s="11"/>
      <c r="B234" s="6"/>
      <c r="C234" s="11"/>
      <c r="D234" s="11"/>
      <c r="E234" s="8" t="str">
        <f aca="false">IF($A234="","",SUMIFS($C:$C,$A:$A,$H234,$B:$B,"&gt;="&amp;INT($B234),$B:$B,"&lt;"&amp;(INT($B234)+1)))</f>
        <v/>
      </c>
      <c r="F234" s="19" t="str">
        <f aca="false">IF($A234="","",IF(ISNA(MATCH($H234,Buffers!$AE:$AE,0)),"Not on Buffers",IF(NOT(ISNUMBER($B234)),"Needs a date",IF(INT($B234)&lt;PlanDate,"Past due",IF(INT($B234)=PlanDate,"Due today",IF(AND(INDEX(Buffers!$L:$L,MATCH($H234,Buffers!$AE:$AE,0))="Planned",$E234&gt;0,INT($B234)&lt;=PlanDate+ROUNDUP(IF(ISNUMBER(SpikeHorizon),SpikeHorizon,INDEX(Buffers!$D:$D,MATCH($H234,Buffers!$AE:$AE,0))),0),$E234&gt;=SpikePct*INDEX(Buffers!$P:$P,MATCH($H234,Buffers!$AE:$AE,0))),"Spike","Not qualified"))))))</f>
        <v/>
      </c>
      <c r="G234" s="8" t="str">
        <f aca="false">IF($A234="","",IF(OR($F234="Past due",$F234="Due today",$F234="Spike"),$C234,0))</f>
        <v/>
      </c>
      <c r="H234" s="8" t="str">
        <f aca="false">IF($A234="","",SUBSTITUTE(SUBSTITUTE(SUBSTITUTE($A234&amp;"","~","~~"),"*","~*"),"?","~?"))</f>
        <v/>
      </c>
    </row>
    <row r="235" customFormat="false" ht="15" hidden="false" customHeight="false" outlineLevel="0" collapsed="false">
      <c r="A235" s="11"/>
      <c r="B235" s="6"/>
      <c r="C235" s="11"/>
      <c r="D235" s="11"/>
      <c r="E235" s="8" t="str">
        <f aca="false">IF($A235="","",SUMIFS($C:$C,$A:$A,$H235,$B:$B,"&gt;="&amp;INT($B235),$B:$B,"&lt;"&amp;(INT($B235)+1)))</f>
        <v/>
      </c>
      <c r="F235" s="19" t="str">
        <f aca="false">IF($A235="","",IF(ISNA(MATCH($H235,Buffers!$AE:$AE,0)),"Not on Buffers",IF(NOT(ISNUMBER($B235)),"Needs a date",IF(INT($B235)&lt;PlanDate,"Past due",IF(INT($B235)=PlanDate,"Due today",IF(AND(INDEX(Buffers!$L:$L,MATCH($H235,Buffers!$AE:$AE,0))="Planned",$E235&gt;0,INT($B235)&lt;=PlanDate+ROUNDUP(IF(ISNUMBER(SpikeHorizon),SpikeHorizon,INDEX(Buffers!$D:$D,MATCH($H235,Buffers!$AE:$AE,0))),0),$E235&gt;=SpikePct*INDEX(Buffers!$P:$P,MATCH($H235,Buffers!$AE:$AE,0))),"Spike","Not qualified"))))))</f>
        <v/>
      </c>
      <c r="G235" s="8" t="str">
        <f aca="false">IF($A235="","",IF(OR($F235="Past due",$F235="Due today",$F235="Spike"),$C235,0))</f>
        <v/>
      </c>
      <c r="H235" s="8" t="str">
        <f aca="false">IF($A235="","",SUBSTITUTE(SUBSTITUTE(SUBSTITUTE($A235&amp;"","~","~~"),"*","~*"),"?","~?"))</f>
        <v/>
      </c>
    </row>
    <row r="236" customFormat="false" ht="15" hidden="false" customHeight="false" outlineLevel="0" collapsed="false">
      <c r="A236" s="11"/>
      <c r="B236" s="6"/>
      <c r="C236" s="11"/>
      <c r="D236" s="11"/>
      <c r="E236" s="8" t="str">
        <f aca="false">IF($A236="","",SUMIFS($C:$C,$A:$A,$H236,$B:$B,"&gt;="&amp;INT($B236),$B:$B,"&lt;"&amp;(INT($B236)+1)))</f>
        <v/>
      </c>
      <c r="F236" s="19" t="str">
        <f aca="false">IF($A236="","",IF(ISNA(MATCH($H236,Buffers!$AE:$AE,0)),"Not on Buffers",IF(NOT(ISNUMBER($B236)),"Needs a date",IF(INT($B236)&lt;PlanDate,"Past due",IF(INT($B236)=PlanDate,"Due today",IF(AND(INDEX(Buffers!$L:$L,MATCH($H236,Buffers!$AE:$AE,0))="Planned",$E236&gt;0,INT($B236)&lt;=PlanDate+ROUNDUP(IF(ISNUMBER(SpikeHorizon),SpikeHorizon,INDEX(Buffers!$D:$D,MATCH($H236,Buffers!$AE:$AE,0))),0),$E236&gt;=SpikePct*INDEX(Buffers!$P:$P,MATCH($H236,Buffers!$AE:$AE,0))),"Spike","Not qualified"))))))</f>
        <v/>
      </c>
      <c r="G236" s="8" t="str">
        <f aca="false">IF($A236="","",IF(OR($F236="Past due",$F236="Due today",$F236="Spike"),$C236,0))</f>
        <v/>
      </c>
      <c r="H236" s="8" t="str">
        <f aca="false">IF($A236="","",SUBSTITUTE(SUBSTITUTE(SUBSTITUTE($A236&amp;"","~","~~"),"*","~*"),"?","~?"))</f>
        <v/>
      </c>
    </row>
    <row r="237" customFormat="false" ht="15" hidden="false" customHeight="false" outlineLevel="0" collapsed="false">
      <c r="A237" s="11"/>
      <c r="B237" s="6"/>
      <c r="C237" s="11"/>
      <c r="D237" s="11"/>
      <c r="E237" s="8" t="str">
        <f aca="false">IF($A237="","",SUMIFS($C:$C,$A:$A,$H237,$B:$B,"&gt;="&amp;INT($B237),$B:$B,"&lt;"&amp;(INT($B237)+1)))</f>
        <v/>
      </c>
      <c r="F237" s="19" t="str">
        <f aca="false">IF($A237="","",IF(ISNA(MATCH($H237,Buffers!$AE:$AE,0)),"Not on Buffers",IF(NOT(ISNUMBER($B237)),"Needs a date",IF(INT($B237)&lt;PlanDate,"Past due",IF(INT($B237)=PlanDate,"Due today",IF(AND(INDEX(Buffers!$L:$L,MATCH($H237,Buffers!$AE:$AE,0))="Planned",$E237&gt;0,INT($B237)&lt;=PlanDate+ROUNDUP(IF(ISNUMBER(SpikeHorizon),SpikeHorizon,INDEX(Buffers!$D:$D,MATCH($H237,Buffers!$AE:$AE,0))),0),$E237&gt;=SpikePct*INDEX(Buffers!$P:$P,MATCH($H237,Buffers!$AE:$AE,0))),"Spike","Not qualified"))))))</f>
        <v/>
      </c>
      <c r="G237" s="8" t="str">
        <f aca="false">IF($A237="","",IF(OR($F237="Past due",$F237="Due today",$F237="Spike"),$C237,0))</f>
        <v/>
      </c>
      <c r="H237" s="8" t="str">
        <f aca="false">IF($A237="","",SUBSTITUTE(SUBSTITUTE(SUBSTITUTE($A237&amp;"","~","~~"),"*","~*"),"?","~?"))</f>
        <v/>
      </c>
    </row>
    <row r="238" customFormat="false" ht="15" hidden="false" customHeight="false" outlineLevel="0" collapsed="false">
      <c r="A238" s="11"/>
      <c r="B238" s="6"/>
      <c r="C238" s="11"/>
      <c r="D238" s="11"/>
      <c r="E238" s="8" t="str">
        <f aca="false">IF($A238="","",SUMIFS($C:$C,$A:$A,$H238,$B:$B,"&gt;="&amp;INT($B238),$B:$B,"&lt;"&amp;(INT($B238)+1)))</f>
        <v/>
      </c>
      <c r="F238" s="19" t="str">
        <f aca="false">IF($A238="","",IF(ISNA(MATCH($H238,Buffers!$AE:$AE,0)),"Not on Buffers",IF(NOT(ISNUMBER($B238)),"Needs a date",IF(INT($B238)&lt;PlanDate,"Past due",IF(INT($B238)=PlanDate,"Due today",IF(AND(INDEX(Buffers!$L:$L,MATCH($H238,Buffers!$AE:$AE,0))="Planned",$E238&gt;0,INT($B238)&lt;=PlanDate+ROUNDUP(IF(ISNUMBER(SpikeHorizon),SpikeHorizon,INDEX(Buffers!$D:$D,MATCH($H238,Buffers!$AE:$AE,0))),0),$E238&gt;=SpikePct*INDEX(Buffers!$P:$P,MATCH($H238,Buffers!$AE:$AE,0))),"Spike","Not qualified"))))))</f>
        <v/>
      </c>
      <c r="G238" s="8" t="str">
        <f aca="false">IF($A238="","",IF(OR($F238="Past due",$F238="Due today",$F238="Spike"),$C238,0))</f>
        <v/>
      </c>
      <c r="H238" s="8" t="str">
        <f aca="false">IF($A238="","",SUBSTITUTE(SUBSTITUTE(SUBSTITUTE($A238&amp;"","~","~~"),"*","~*"),"?","~?"))</f>
        <v/>
      </c>
    </row>
    <row r="239" customFormat="false" ht="15" hidden="false" customHeight="false" outlineLevel="0" collapsed="false">
      <c r="A239" s="11"/>
      <c r="B239" s="6"/>
      <c r="C239" s="11"/>
      <c r="D239" s="11"/>
      <c r="E239" s="8" t="str">
        <f aca="false">IF($A239="","",SUMIFS($C:$C,$A:$A,$H239,$B:$B,"&gt;="&amp;INT($B239),$B:$B,"&lt;"&amp;(INT($B239)+1)))</f>
        <v/>
      </c>
      <c r="F239" s="19" t="str">
        <f aca="false">IF($A239="","",IF(ISNA(MATCH($H239,Buffers!$AE:$AE,0)),"Not on Buffers",IF(NOT(ISNUMBER($B239)),"Needs a date",IF(INT($B239)&lt;PlanDate,"Past due",IF(INT($B239)=PlanDate,"Due today",IF(AND(INDEX(Buffers!$L:$L,MATCH($H239,Buffers!$AE:$AE,0))="Planned",$E239&gt;0,INT($B239)&lt;=PlanDate+ROUNDUP(IF(ISNUMBER(SpikeHorizon),SpikeHorizon,INDEX(Buffers!$D:$D,MATCH($H239,Buffers!$AE:$AE,0))),0),$E239&gt;=SpikePct*INDEX(Buffers!$P:$P,MATCH($H239,Buffers!$AE:$AE,0))),"Spike","Not qualified"))))))</f>
        <v/>
      </c>
      <c r="G239" s="8" t="str">
        <f aca="false">IF($A239="","",IF(OR($F239="Past due",$F239="Due today",$F239="Spike"),$C239,0))</f>
        <v/>
      </c>
      <c r="H239" s="8" t="str">
        <f aca="false">IF($A239="","",SUBSTITUTE(SUBSTITUTE(SUBSTITUTE($A239&amp;"","~","~~"),"*","~*"),"?","~?"))</f>
        <v/>
      </c>
    </row>
    <row r="240" customFormat="false" ht="15" hidden="false" customHeight="false" outlineLevel="0" collapsed="false">
      <c r="A240" s="11"/>
      <c r="B240" s="6"/>
      <c r="C240" s="11"/>
      <c r="D240" s="11"/>
      <c r="E240" s="8" t="str">
        <f aca="false">IF($A240="","",SUMIFS($C:$C,$A:$A,$H240,$B:$B,"&gt;="&amp;INT($B240),$B:$B,"&lt;"&amp;(INT($B240)+1)))</f>
        <v/>
      </c>
      <c r="F240" s="19" t="str">
        <f aca="false">IF($A240="","",IF(ISNA(MATCH($H240,Buffers!$AE:$AE,0)),"Not on Buffers",IF(NOT(ISNUMBER($B240)),"Needs a date",IF(INT($B240)&lt;PlanDate,"Past due",IF(INT($B240)=PlanDate,"Due today",IF(AND(INDEX(Buffers!$L:$L,MATCH($H240,Buffers!$AE:$AE,0))="Planned",$E240&gt;0,INT($B240)&lt;=PlanDate+ROUNDUP(IF(ISNUMBER(SpikeHorizon),SpikeHorizon,INDEX(Buffers!$D:$D,MATCH($H240,Buffers!$AE:$AE,0))),0),$E240&gt;=SpikePct*INDEX(Buffers!$P:$P,MATCH($H240,Buffers!$AE:$AE,0))),"Spike","Not qualified"))))))</f>
        <v/>
      </c>
      <c r="G240" s="8" t="str">
        <f aca="false">IF($A240="","",IF(OR($F240="Past due",$F240="Due today",$F240="Spike"),$C240,0))</f>
        <v/>
      </c>
      <c r="H240" s="8" t="str">
        <f aca="false">IF($A240="","",SUBSTITUTE(SUBSTITUTE(SUBSTITUTE($A240&amp;"","~","~~"),"*","~*"),"?","~?"))</f>
        <v/>
      </c>
    </row>
    <row r="241" customFormat="false" ht="15" hidden="false" customHeight="false" outlineLevel="0" collapsed="false">
      <c r="A241" s="11"/>
      <c r="B241" s="6"/>
      <c r="C241" s="11"/>
      <c r="D241" s="11"/>
      <c r="E241" s="8" t="str">
        <f aca="false">IF($A241="","",SUMIFS($C:$C,$A:$A,$H241,$B:$B,"&gt;="&amp;INT($B241),$B:$B,"&lt;"&amp;(INT($B241)+1)))</f>
        <v/>
      </c>
      <c r="F241" s="19" t="str">
        <f aca="false">IF($A241="","",IF(ISNA(MATCH($H241,Buffers!$AE:$AE,0)),"Not on Buffers",IF(NOT(ISNUMBER($B241)),"Needs a date",IF(INT($B241)&lt;PlanDate,"Past due",IF(INT($B241)=PlanDate,"Due today",IF(AND(INDEX(Buffers!$L:$L,MATCH($H241,Buffers!$AE:$AE,0))="Planned",$E241&gt;0,INT($B241)&lt;=PlanDate+ROUNDUP(IF(ISNUMBER(SpikeHorizon),SpikeHorizon,INDEX(Buffers!$D:$D,MATCH($H241,Buffers!$AE:$AE,0))),0),$E241&gt;=SpikePct*INDEX(Buffers!$P:$P,MATCH($H241,Buffers!$AE:$AE,0))),"Spike","Not qualified"))))))</f>
        <v/>
      </c>
      <c r="G241" s="8" t="str">
        <f aca="false">IF($A241="","",IF(OR($F241="Past due",$F241="Due today",$F241="Spike"),$C241,0))</f>
        <v/>
      </c>
      <c r="H241" s="8" t="str">
        <f aca="false">IF($A241="","",SUBSTITUTE(SUBSTITUTE(SUBSTITUTE($A241&amp;"","~","~~"),"*","~*"),"?","~?"))</f>
        <v/>
      </c>
    </row>
    <row r="242" customFormat="false" ht="15" hidden="false" customHeight="false" outlineLevel="0" collapsed="false">
      <c r="A242" s="11"/>
      <c r="B242" s="6"/>
      <c r="C242" s="11"/>
      <c r="D242" s="11"/>
      <c r="E242" s="8" t="str">
        <f aca="false">IF($A242="","",SUMIFS($C:$C,$A:$A,$H242,$B:$B,"&gt;="&amp;INT($B242),$B:$B,"&lt;"&amp;(INT($B242)+1)))</f>
        <v/>
      </c>
      <c r="F242" s="19" t="str">
        <f aca="false">IF($A242="","",IF(ISNA(MATCH($H242,Buffers!$AE:$AE,0)),"Not on Buffers",IF(NOT(ISNUMBER($B242)),"Needs a date",IF(INT($B242)&lt;PlanDate,"Past due",IF(INT($B242)=PlanDate,"Due today",IF(AND(INDEX(Buffers!$L:$L,MATCH($H242,Buffers!$AE:$AE,0))="Planned",$E242&gt;0,INT($B242)&lt;=PlanDate+ROUNDUP(IF(ISNUMBER(SpikeHorizon),SpikeHorizon,INDEX(Buffers!$D:$D,MATCH($H242,Buffers!$AE:$AE,0))),0),$E242&gt;=SpikePct*INDEX(Buffers!$P:$P,MATCH($H242,Buffers!$AE:$AE,0))),"Spike","Not qualified"))))))</f>
        <v/>
      </c>
      <c r="G242" s="8" t="str">
        <f aca="false">IF($A242="","",IF(OR($F242="Past due",$F242="Due today",$F242="Spike"),$C242,0))</f>
        <v/>
      </c>
      <c r="H242" s="8" t="str">
        <f aca="false">IF($A242="","",SUBSTITUTE(SUBSTITUTE(SUBSTITUTE($A242&amp;"","~","~~"),"*","~*"),"?","~?"))</f>
        <v/>
      </c>
    </row>
    <row r="243" customFormat="false" ht="15" hidden="false" customHeight="false" outlineLevel="0" collapsed="false">
      <c r="A243" s="11"/>
      <c r="B243" s="6"/>
      <c r="C243" s="11"/>
      <c r="D243" s="11"/>
      <c r="E243" s="8" t="str">
        <f aca="false">IF($A243="","",SUMIFS($C:$C,$A:$A,$H243,$B:$B,"&gt;="&amp;INT($B243),$B:$B,"&lt;"&amp;(INT($B243)+1)))</f>
        <v/>
      </c>
      <c r="F243" s="19" t="str">
        <f aca="false">IF($A243="","",IF(ISNA(MATCH($H243,Buffers!$AE:$AE,0)),"Not on Buffers",IF(NOT(ISNUMBER($B243)),"Needs a date",IF(INT($B243)&lt;PlanDate,"Past due",IF(INT($B243)=PlanDate,"Due today",IF(AND(INDEX(Buffers!$L:$L,MATCH($H243,Buffers!$AE:$AE,0))="Planned",$E243&gt;0,INT($B243)&lt;=PlanDate+ROUNDUP(IF(ISNUMBER(SpikeHorizon),SpikeHorizon,INDEX(Buffers!$D:$D,MATCH($H243,Buffers!$AE:$AE,0))),0),$E243&gt;=SpikePct*INDEX(Buffers!$P:$P,MATCH($H243,Buffers!$AE:$AE,0))),"Spike","Not qualified"))))))</f>
        <v/>
      </c>
      <c r="G243" s="8" t="str">
        <f aca="false">IF($A243="","",IF(OR($F243="Past due",$F243="Due today",$F243="Spike"),$C243,0))</f>
        <v/>
      </c>
      <c r="H243" s="8" t="str">
        <f aca="false">IF($A243="","",SUBSTITUTE(SUBSTITUTE(SUBSTITUTE($A243&amp;"","~","~~"),"*","~*"),"?","~?"))</f>
        <v/>
      </c>
    </row>
    <row r="244" customFormat="false" ht="15" hidden="false" customHeight="false" outlineLevel="0" collapsed="false">
      <c r="A244" s="11"/>
      <c r="B244" s="6"/>
      <c r="C244" s="11"/>
      <c r="D244" s="11"/>
      <c r="E244" s="8" t="str">
        <f aca="false">IF($A244="","",SUMIFS($C:$C,$A:$A,$H244,$B:$B,"&gt;="&amp;INT($B244),$B:$B,"&lt;"&amp;(INT($B244)+1)))</f>
        <v/>
      </c>
      <c r="F244" s="19" t="str">
        <f aca="false">IF($A244="","",IF(ISNA(MATCH($H244,Buffers!$AE:$AE,0)),"Not on Buffers",IF(NOT(ISNUMBER($B244)),"Needs a date",IF(INT($B244)&lt;PlanDate,"Past due",IF(INT($B244)=PlanDate,"Due today",IF(AND(INDEX(Buffers!$L:$L,MATCH($H244,Buffers!$AE:$AE,0))="Planned",$E244&gt;0,INT($B244)&lt;=PlanDate+ROUNDUP(IF(ISNUMBER(SpikeHorizon),SpikeHorizon,INDEX(Buffers!$D:$D,MATCH($H244,Buffers!$AE:$AE,0))),0),$E244&gt;=SpikePct*INDEX(Buffers!$P:$P,MATCH($H244,Buffers!$AE:$AE,0))),"Spike","Not qualified"))))))</f>
        <v/>
      </c>
      <c r="G244" s="8" t="str">
        <f aca="false">IF($A244="","",IF(OR($F244="Past due",$F244="Due today",$F244="Spike"),$C244,0))</f>
        <v/>
      </c>
      <c r="H244" s="8" t="str">
        <f aca="false">IF($A244="","",SUBSTITUTE(SUBSTITUTE(SUBSTITUTE($A244&amp;"","~","~~"),"*","~*"),"?","~?"))</f>
        <v/>
      </c>
    </row>
    <row r="245" customFormat="false" ht="15" hidden="false" customHeight="false" outlineLevel="0" collapsed="false">
      <c r="A245" s="11"/>
      <c r="B245" s="6"/>
      <c r="C245" s="11"/>
      <c r="D245" s="11"/>
      <c r="E245" s="8" t="str">
        <f aca="false">IF($A245="","",SUMIFS($C:$C,$A:$A,$H245,$B:$B,"&gt;="&amp;INT($B245),$B:$B,"&lt;"&amp;(INT($B245)+1)))</f>
        <v/>
      </c>
      <c r="F245" s="19" t="str">
        <f aca="false">IF($A245="","",IF(ISNA(MATCH($H245,Buffers!$AE:$AE,0)),"Not on Buffers",IF(NOT(ISNUMBER($B245)),"Needs a date",IF(INT($B245)&lt;PlanDate,"Past due",IF(INT($B245)=PlanDate,"Due today",IF(AND(INDEX(Buffers!$L:$L,MATCH($H245,Buffers!$AE:$AE,0))="Planned",$E245&gt;0,INT($B245)&lt;=PlanDate+ROUNDUP(IF(ISNUMBER(SpikeHorizon),SpikeHorizon,INDEX(Buffers!$D:$D,MATCH($H245,Buffers!$AE:$AE,0))),0),$E245&gt;=SpikePct*INDEX(Buffers!$P:$P,MATCH($H245,Buffers!$AE:$AE,0))),"Spike","Not qualified"))))))</f>
        <v/>
      </c>
      <c r="G245" s="8" t="str">
        <f aca="false">IF($A245="","",IF(OR($F245="Past due",$F245="Due today",$F245="Spike"),$C245,0))</f>
        <v/>
      </c>
      <c r="H245" s="8" t="str">
        <f aca="false">IF($A245="","",SUBSTITUTE(SUBSTITUTE(SUBSTITUTE($A245&amp;"","~","~~"),"*","~*"),"?","~?"))</f>
        <v/>
      </c>
    </row>
    <row r="246" customFormat="false" ht="15" hidden="false" customHeight="false" outlineLevel="0" collapsed="false">
      <c r="A246" s="11"/>
      <c r="B246" s="6"/>
      <c r="C246" s="11"/>
      <c r="D246" s="11"/>
      <c r="E246" s="8" t="str">
        <f aca="false">IF($A246="","",SUMIFS($C:$C,$A:$A,$H246,$B:$B,"&gt;="&amp;INT($B246),$B:$B,"&lt;"&amp;(INT($B246)+1)))</f>
        <v/>
      </c>
      <c r="F246" s="19" t="str">
        <f aca="false">IF($A246="","",IF(ISNA(MATCH($H246,Buffers!$AE:$AE,0)),"Not on Buffers",IF(NOT(ISNUMBER($B246)),"Needs a date",IF(INT($B246)&lt;PlanDate,"Past due",IF(INT($B246)=PlanDate,"Due today",IF(AND(INDEX(Buffers!$L:$L,MATCH($H246,Buffers!$AE:$AE,0))="Planned",$E246&gt;0,INT($B246)&lt;=PlanDate+ROUNDUP(IF(ISNUMBER(SpikeHorizon),SpikeHorizon,INDEX(Buffers!$D:$D,MATCH($H246,Buffers!$AE:$AE,0))),0),$E246&gt;=SpikePct*INDEX(Buffers!$P:$P,MATCH($H246,Buffers!$AE:$AE,0))),"Spike","Not qualified"))))))</f>
        <v/>
      </c>
      <c r="G246" s="8" t="str">
        <f aca="false">IF($A246="","",IF(OR($F246="Past due",$F246="Due today",$F246="Spike"),$C246,0))</f>
        <v/>
      </c>
      <c r="H246" s="8" t="str">
        <f aca="false">IF($A246="","",SUBSTITUTE(SUBSTITUTE(SUBSTITUTE($A246&amp;"","~","~~"),"*","~*"),"?","~?"))</f>
        <v/>
      </c>
    </row>
    <row r="247" customFormat="false" ht="15" hidden="false" customHeight="false" outlineLevel="0" collapsed="false">
      <c r="A247" s="11"/>
      <c r="B247" s="6"/>
      <c r="C247" s="11"/>
      <c r="D247" s="11"/>
      <c r="E247" s="8" t="str">
        <f aca="false">IF($A247="","",SUMIFS($C:$C,$A:$A,$H247,$B:$B,"&gt;="&amp;INT($B247),$B:$B,"&lt;"&amp;(INT($B247)+1)))</f>
        <v/>
      </c>
      <c r="F247" s="19" t="str">
        <f aca="false">IF($A247="","",IF(ISNA(MATCH($H247,Buffers!$AE:$AE,0)),"Not on Buffers",IF(NOT(ISNUMBER($B247)),"Needs a date",IF(INT($B247)&lt;PlanDate,"Past due",IF(INT($B247)=PlanDate,"Due today",IF(AND(INDEX(Buffers!$L:$L,MATCH($H247,Buffers!$AE:$AE,0))="Planned",$E247&gt;0,INT($B247)&lt;=PlanDate+ROUNDUP(IF(ISNUMBER(SpikeHorizon),SpikeHorizon,INDEX(Buffers!$D:$D,MATCH($H247,Buffers!$AE:$AE,0))),0),$E247&gt;=SpikePct*INDEX(Buffers!$P:$P,MATCH($H247,Buffers!$AE:$AE,0))),"Spike","Not qualified"))))))</f>
        <v/>
      </c>
      <c r="G247" s="8" t="str">
        <f aca="false">IF($A247="","",IF(OR($F247="Past due",$F247="Due today",$F247="Spike"),$C247,0))</f>
        <v/>
      </c>
      <c r="H247" s="8" t="str">
        <f aca="false">IF($A247="","",SUBSTITUTE(SUBSTITUTE(SUBSTITUTE($A247&amp;"","~","~~"),"*","~*"),"?","~?"))</f>
        <v/>
      </c>
    </row>
    <row r="248" customFormat="false" ht="15" hidden="false" customHeight="false" outlineLevel="0" collapsed="false">
      <c r="A248" s="11"/>
      <c r="B248" s="6"/>
      <c r="C248" s="11"/>
      <c r="D248" s="11"/>
      <c r="E248" s="8" t="str">
        <f aca="false">IF($A248="","",SUMIFS($C:$C,$A:$A,$H248,$B:$B,"&gt;="&amp;INT($B248),$B:$B,"&lt;"&amp;(INT($B248)+1)))</f>
        <v/>
      </c>
      <c r="F248" s="19" t="str">
        <f aca="false">IF($A248="","",IF(ISNA(MATCH($H248,Buffers!$AE:$AE,0)),"Not on Buffers",IF(NOT(ISNUMBER($B248)),"Needs a date",IF(INT($B248)&lt;PlanDate,"Past due",IF(INT($B248)=PlanDate,"Due today",IF(AND(INDEX(Buffers!$L:$L,MATCH($H248,Buffers!$AE:$AE,0))="Planned",$E248&gt;0,INT($B248)&lt;=PlanDate+ROUNDUP(IF(ISNUMBER(SpikeHorizon),SpikeHorizon,INDEX(Buffers!$D:$D,MATCH($H248,Buffers!$AE:$AE,0))),0),$E248&gt;=SpikePct*INDEX(Buffers!$P:$P,MATCH($H248,Buffers!$AE:$AE,0))),"Spike","Not qualified"))))))</f>
        <v/>
      </c>
      <c r="G248" s="8" t="str">
        <f aca="false">IF($A248="","",IF(OR($F248="Past due",$F248="Due today",$F248="Spike"),$C248,0))</f>
        <v/>
      </c>
      <c r="H248" s="8" t="str">
        <f aca="false">IF($A248="","",SUBSTITUTE(SUBSTITUTE(SUBSTITUTE($A248&amp;"","~","~~"),"*","~*"),"?","~?"))</f>
        <v/>
      </c>
    </row>
    <row r="249" customFormat="false" ht="15" hidden="false" customHeight="false" outlineLevel="0" collapsed="false">
      <c r="A249" s="11"/>
      <c r="B249" s="6"/>
      <c r="C249" s="11"/>
      <c r="D249" s="11"/>
      <c r="E249" s="8" t="str">
        <f aca="false">IF($A249="","",SUMIFS($C:$C,$A:$A,$H249,$B:$B,"&gt;="&amp;INT($B249),$B:$B,"&lt;"&amp;(INT($B249)+1)))</f>
        <v/>
      </c>
      <c r="F249" s="19" t="str">
        <f aca="false">IF($A249="","",IF(ISNA(MATCH($H249,Buffers!$AE:$AE,0)),"Not on Buffers",IF(NOT(ISNUMBER($B249)),"Needs a date",IF(INT($B249)&lt;PlanDate,"Past due",IF(INT($B249)=PlanDate,"Due today",IF(AND(INDEX(Buffers!$L:$L,MATCH($H249,Buffers!$AE:$AE,0))="Planned",$E249&gt;0,INT($B249)&lt;=PlanDate+ROUNDUP(IF(ISNUMBER(SpikeHorizon),SpikeHorizon,INDEX(Buffers!$D:$D,MATCH($H249,Buffers!$AE:$AE,0))),0),$E249&gt;=SpikePct*INDEX(Buffers!$P:$P,MATCH($H249,Buffers!$AE:$AE,0))),"Spike","Not qualified"))))))</f>
        <v/>
      </c>
      <c r="G249" s="8" t="str">
        <f aca="false">IF($A249="","",IF(OR($F249="Past due",$F249="Due today",$F249="Spike"),$C249,0))</f>
        <v/>
      </c>
      <c r="H249" s="8" t="str">
        <f aca="false">IF($A249="","",SUBSTITUTE(SUBSTITUTE(SUBSTITUTE($A249&amp;"","~","~~"),"*","~*"),"?","~?"))</f>
        <v/>
      </c>
    </row>
    <row r="250" customFormat="false" ht="15" hidden="false" customHeight="false" outlineLevel="0" collapsed="false">
      <c r="A250" s="11"/>
      <c r="B250" s="6"/>
      <c r="C250" s="11"/>
      <c r="D250" s="11"/>
      <c r="E250" s="8" t="str">
        <f aca="false">IF($A250="","",SUMIFS($C:$C,$A:$A,$H250,$B:$B,"&gt;="&amp;INT($B250),$B:$B,"&lt;"&amp;(INT($B250)+1)))</f>
        <v/>
      </c>
      <c r="F250" s="19" t="str">
        <f aca="false">IF($A250="","",IF(ISNA(MATCH($H250,Buffers!$AE:$AE,0)),"Not on Buffers",IF(NOT(ISNUMBER($B250)),"Needs a date",IF(INT($B250)&lt;PlanDate,"Past due",IF(INT($B250)=PlanDate,"Due today",IF(AND(INDEX(Buffers!$L:$L,MATCH($H250,Buffers!$AE:$AE,0))="Planned",$E250&gt;0,INT($B250)&lt;=PlanDate+ROUNDUP(IF(ISNUMBER(SpikeHorizon),SpikeHorizon,INDEX(Buffers!$D:$D,MATCH($H250,Buffers!$AE:$AE,0))),0),$E250&gt;=SpikePct*INDEX(Buffers!$P:$P,MATCH($H250,Buffers!$AE:$AE,0))),"Spike","Not qualified"))))))</f>
        <v/>
      </c>
      <c r="G250" s="8" t="str">
        <f aca="false">IF($A250="","",IF(OR($F250="Past due",$F250="Due today",$F250="Spike"),$C250,0))</f>
        <v/>
      </c>
      <c r="H250" s="8" t="str">
        <f aca="false">IF($A250="","",SUBSTITUTE(SUBSTITUTE(SUBSTITUTE($A250&amp;"","~","~~"),"*","~*"),"?","~?"))</f>
        <v/>
      </c>
    </row>
    <row r="251" customFormat="false" ht="15" hidden="false" customHeight="false" outlineLevel="0" collapsed="false">
      <c r="A251" s="11"/>
      <c r="B251" s="6"/>
      <c r="C251" s="11"/>
      <c r="D251" s="11"/>
      <c r="E251" s="8" t="str">
        <f aca="false">IF($A251="","",SUMIFS($C:$C,$A:$A,$H251,$B:$B,"&gt;="&amp;INT($B251),$B:$B,"&lt;"&amp;(INT($B251)+1)))</f>
        <v/>
      </c>
      <c r="F251" s="19" t="str">
        <f aca="false">IF($A251="","",IF(ISNA(MATCH($H251,Buffers!$AE:$AE,0)),"Not on Buffers",IF(NOT(ISNUMBER($B251)),"Needs a date",IF(INT($B251)&lt;PlanDate,"Past due",IF(INT($B251)=PlanDate,"Due today",IF(AND(INDEX(Buffers!$L:$L,MATCH($H251,Buffers!$AE:$AE,0))="Planned",$E251&gt;0,INT($B251)&lt;=PlanDate+ROUNDUP(IF(ISNUMBER(SpikeHorizon),SpikeHorizon,INDEX(Buffers!$D:$D,MATCH($H251,Buffers!$AE:$AE,0))),0),$E251&gt;=SpikePct*INDEX(Buffers!$P:$P,MATCH($H251,Buffers!$AE:$AE,0))),"Spike","Not qualified"))))))</f>
        <v/>
      </c>
      <c r="G251" s="8" t="str">
        <f aca="false">IF($A251="","",IF(OR($F251="Past due",$F251="Due today",$F251="Spike"),$C251,0))</f>
        <v/>
      </c>
      <c r="H251" s="8" t="str">
        <f aca="false">IF($A251="","",SUBSTITUTE(SUBSTITUTE(SUBSTITUTE($A251&amp;"","~","~~"),"*","~*"),"?","~?"))</f>
        <v/>
      </c>
    </row>
    <row r="252" customFormat="false" ht="15" hidden="false" customHeight="false" outlineLevel="0" collapsed="false">
      <c r="A252" s="11"/>
      <c r="B252" s="6"/>
      <c r="C252" s="11"/>
      <c r="D252" s="11"/>
      <c r="E252" s="8" t="str">
        <f aca="false">IF($A252="","",SUMIFS($C:$C,$A:$A,$H252,$B:$B,"&gt;="&amp;INT($B252),$B:$B,"&lt;"&amp;(INT($B252)+1)))</f>
        <v/>
      </c>
      <c r="F252" s="19" t="str">
        <f aca="false">IF($A252="","",IF(ISNA(MATCH($H252,Buffers!$AE:$AE,0)),"Not on Buffers",IF(NOT(ISNUMBER($B252)),"Needs a date",IF(INT($B252)&lt;PlanDate,"Past due",IF(INT($B252)=PlanDate,"Due today",IF(AND(INDEX(Buffers!$L:$L,MATCH($H252,Buffers!$AE:$AE,0))="Planned",$E252&gt;0,INT($B252)&lt;=PlanDate+ROUNDUP(IF(ISNUMBER(SpikeHorizon),SpikeHorizon,INDEX(Buffers!$D:$D,MATCH($H252,Buffers!$AE:$AE,0))),0),$E252&gt;=SpikePct*INDEX(Buffers!$P:$P,MATCH($H252,Buffers!$AE:$AE,0))),"Spike","Not qualified"))))))</f>
        <v/>
      </c>
      <c r="G252" s="8" t="str">
        <f aca="false">IF($A252="","",IF(OR($F252="Past due",$F252="Due today",$F252="Spike"),$C252,0))</f>
        <v/>
      </c>
      <c r="H252" s="8" t="str">
        <f aca="false">IF($A252="","",SUBSTITUTE(SUBSTITUTE(SUBSTITUTE($A252&amp;"","~","~~"),"*","~*"),"?","~?"))</f>
        <v/>
      </c>
    </row>
    <row r="253" customFormat="false" ht="15" hidden="false" customHeight="false" outlineLevel="0" collapsed="false">
      <c r="A253" s="11"/>
      <c r="B253" s="6"/>
      <c r="C253" s="11"/>
      <c r="D253" s="11"/>
      <c r="E253" s="8" t="str">
        <f aca="false">IF($A253="","",SUMIFS($C:$C,$A:$A,$H253,$B:$B,"&gt;="&amp;INT($B253),$B:$B,"&lt;"&amp;(INT($B253)+1)))</f>
        <v/>
      </c>
      <c r="F253" s="19" t="str">
        <f aca="false">IF($A253="","",IF(ISNA(MATCH($H253,Buffers!$AE:$AE,0)),"Not on Buffers",IF(NOT(ISNUMBER($B253)),"Needs a date",IF(INT($B253)&lt;PlanDate,"Past due",IF(INT($B253)=PlanDate,"Due today",IF(AND(INDEX(Buffers!$L:$L,MATCH($H253,Buffers!$AE:$AE,0))="Planned",$E253&gt;0,INT($B253)&lt;=PlanDate+ROUNDUP(IF(ISNUMBER(SpikeHorizon),SpikeHorizon,INDEX(Buffers!$D:$D,MATCH($H253,Buffers!$AE:$AE,0))),0),$E253&gt;=SpikePct*INDEX(Buffers!$P:$P,MATCH($H253,Buffers!$AE:$AE,0))),"Spike","Not qualified"))))))</f>
        <v/>
      </c>
      <c r="G253" s="8" t="str">
        <f aca="false">IF($A253="","",IF(OR($F253="Past due",$F253="Due today",$F253="Spike"),$C253,0))</f>
        <v/>
      </c>
      <c r="H253" s="8" t="str">
        <f aca="false">IF($A253="","",SUBSTITUTE(SUBSTITUTE(SUBSTITUTE($A253&amp;"","~","~~"),"*","~*"),"?","~?"))</f>
        <v/>
      </c>
    </row>
    <row r="254" customFormat="false" ht="15" hidden="false" customHeight="false" outlineLevel="0" collapsed="false">
      <c r="A254" s="11"/>
      <c r="B254" s="6"/>
      <c r="C254" s="11"/>
      <c r="D254" s="11"/>
      <c r="E254" s="8" t="str">
        <f aca="false">IF($A254="","",SUMIFS($C:$C,$A:$A,$H254,$B:$B,"&gt;="&amp;INT($B254),$B:$B,"&lt;"&amp;(INT($B254)+1)))</f>
        <v/>
      </c>
      <c r="F254" s="19" t="str">
        <f aca="false">IF($A254="","",IF(ISNA(MATCH($H254,Buffers!$AE:$AE,0)),"Not on Buffers",IF(NOT(ISNUMBER($B254)),"Needs a date",IF(INT($B254)&lt;PlanDate,"Past due",IF(INT($B254)=PlanDate,"Due today",IF(AND(INDEX(Buffers!$L:$L,MATCH($H254,Buffers!$AE:$AE,0))="Planned",$E254&gt;0,INT($B254)&lt;=PlanDate+ROUNDUP(IF(ISNUMBER(SpikeHorizon),SpikeHorizon,INDEX(Buffers!$D:$D,MATCH($H254,Buffers!$AE:$AE,0))),0),$E254&gt;=SpikePct*INDEX(Buffers!$P:$P,MATCH($H254,Buffers!$AE:$AE,0))),"Spike","Not qualified"))))))</f>
        <v/>
      </c>
      <c r="G254" s="8" t="str">
        <f aca="false">IF($A254="","",IF(OR($F254="Past due",$F254="Due today",$F254="Spike"),$C254,0))</f>
        <v/>
      </c>
      <c r="H254" s="8" t="str">
        <f aca="false">IF($A254="","",SUBSTITUTE(SUBSTITUTE(SUBSTITUTE($A254&amp;"","~","~~"),"*","~*"),"?","~?"))</f>
        <v/>
      </c>
    </row>
    <row r="255" customFormat="false" ht="15" hidden="false" customHeight="false" outlineLevel="0" collapsed="false">
      <c r="A255" s="11"/>
      <c r="B255" s="6"/>
      <c r="C255" s="11"/>
      <c r="D255" s="11"/>
      <c r="E255" s="8" t="str">
        <f aca="false">IF($A255="","",SUMIFS($C:$C,$A:$A,$H255,$B:$B,"&gt;="&amp;INT($B255),$B:$B,"&lt;"&amp;(INT($B255)+1)))</f>
        <v/>
      </c>
      <c r="F255" s="19" t="str">
        <f aca="false">IF($A255="","",IF(ISNA(MATCH($H255,Buffers!$AE:$AE,0)),"Not on Buffers",IF(NOT(ISNUMBER($B255)),"Needs a date",IF(INT($B255)&lt;PlanDate,"Past due",IF(INT($B255)=PlanDate,"Due today",IF(AND(INDEX(Buffers!$L:$L,MATCH($H255,Buffers!$AE:$AE,0))="Planned",$E255&gt;0,INT($B255)&lt;=PlanDate+ROUNDUP(IF(ISNUMBER(SpikeHorizon),SpikeHorizon,INDEX(Buffers!$D:$D,MATCH($H255,Buffers!$AE:$AE,0))),0),$E255&gt;=SpikePct*INDEX(Buffers!$P:$P,MATCH($H255,Buffers!$AE:$AE,0))),"Spike","Not qualified"))))))</f>
        <v/>
      </c>
      <c r="G255" s="8" t="str">
        <f aca="false">IF($A255="","",IF(OR($F255="Past due",$F255="Due today",$F255="Spike"),$C255,0))</f>
        <v/>
      </c>
      <c r="H255" s="8" t="str">
        <f aca="false">IF($A255="","",SUBSTITUTE(SUBSTITUTE(SUBSTITUTE($A255&amp;"","~","~~"),"*","~*"),"?","~?"))</f>
        <v/>
      </c>
    </row>
    <row r="256" customFormat="false" ht="15" hidden="false" customHeight="false" outlineLevel="0" collapsed="false">
      <c r="A256" s="11"/>
      <c r="B256" s="6"/>
      <c r="C256" s="11"/>
      <c r="D256" s="11"/>
      <c r="E256" s="8" t="str">
        <f aca="false">IF($A256="","",SUMIFS($C:$C,$A:$A,$H256,$B:$B,"&gt;="&amp;INT($B256),$B:$B,"&lt;"&amp;(INT($B256)+1)))</f>
        <v/>
      </c>
      <c r="F256" s="19" t="str">
        <f aca="false">IF($A256="","",IF(ISNA(MATCH($H256,Buffers!$AE:$AE,0)),"Not on Buffers",IF(NOT(ISNUMBER($B256)),"Needs a date",IF(INT($B256)&lt;PlanDate,"Past due",IF(INT($B256)=PlanDate,"Due today",IF(AND(INDEX(Buffers!$L:$L,MATCH($H256,Buffers!$AE:$AE,0))="Planned",$E256&gt;0,INT($B256)&lt;=PlanDate+ROUNDUP(IF(ISNUMBER(SpikeHorizon),SpikeHorizon,INDEX(Buffers!$D:$D,MATCH($H256,Buffers!$AE:$AE,0))),0),$E256&gt;=SpikePct*INDEX(Buffers!$P:$P,MATCH($H256,Buffers!$AE:$AE,0))),"Spike","Not qualified"))))))</f>
        <v/>
      </c>
      <c r="G256" s="8" t="str">
        <f aca="false">IF($A256="","",IF(OR($F256="Past due",$F256="Due today",$F256="Spike"),$C256,0))</f>
        <v/>
      </c>
      <c r="H256" s="8" t="str">
        <f aca="false">IF($A256="","",SUBSTITUTE(SUBSTITUTE(SUBSTITUTE($A256&amp;"","~","~~"),"*","~*"),"?","~?"))</f>
        <v/>
      </c>
    </row>
    <row r="257" customFormat="false" ht="15" hidden="false" customHeight="false" outlineLevel="0" collapsed="false">
      <c r="A257" s="11"/>
      <c r="B257" s="6"/>
      <c r="C257" s="11"/>
      <c r="D257" s="11"/>
      <c r="E257" s="8" t="str">
        <f aca="false">IF($A257="","",SUMIFS($C:$C,$A:$A,$H257,$B:$B,"&gt;="&amp;INT($B257),$B:$B,"&lt;"&amp;(INT($B257)+1)))</f>
        <v/>
      </c>
      <c r="F257" s="19" t="str">
        <f aca="false">IF($A257="","",IF(ISNA(MATCH($H257,Buffers!$AE:$AE,0)),"Not on Buffers",IF(NOT(ISNUMBER($B257)),"Needs a date",IF(INT($B257)&lt;PlanDate,"Past due",IF(INT($B257)=PlanDate,"Due today",IF(AND(INDEX(Buffers!$L:$L,MATCH($H257,Buffers!$AE:$AE,0))="Planned",$E257&gt;0,INT($B257)&lt;=PlanDate+ROUNDUP(IF(ISNUMBER(SpikeHorizon),SpikeHorizon,INDEX(Buffers!$D:$D,MATCH($H257,Buffers!$AE:$AE,0))),0),$E257&gt;=SpikePct*INDEX(Buffers!$P:$P,MATCH($H257,Buffers!$AE:$AE,0))),"Spike","Not qualified"))))))</f>
        <v/>
      </c>
      <c r="G257" s="8" t="str">
        <f aca="false">IF($A257="","",IF(OR($F257="Past due",$F257="Due today",$F257="Spike"),$C257,0))</f>
        <v/>
      </c>
      <c r="H257" s="8" t="str">
        <f aca="false">IF($A257="","",SUBSTITUTE(SUBSTITUTE(SUBSTITUTE($A257&amp;"","~","~~"),"*","~*"),"?","~?"))</f>
        <v/>
      </c>
    </row>
    <row r="258" customFormat="false" ht="15" hidden="false" customHeight="false" outlineLevel="0" collapsed="false">
      <c r="A258" s="11"/>
      <c r="B258" s="6"/>
      <c r="C258" s="11"/>
      <c r="D258" s="11"/>
      <c r="E258" s="8" t="str">
        <f aca="false">IF($A258="","",SUMIFS($C:$C,$A:$A,$H258,$B:$B,"&gt;="&amp;INT($B258),$B:$B,"&lt;"&amp;(INT($B258)+1)))</f>
        <v/>
      </c>
      <c r="F258" s="19" t="str">
        <f aca="false">IF($A258="","",IF(ISNA(MATCH($H258,Buffers!$AE:$AE,0)),"Not on Buffers",IF(NOT(ISNUMBER($B258)),"Needs a date",IF(INT($B258)&lt;PlanDate,"Past due",IF(INT($B258)=PlanDate,"Due today",IF(AND(INDEX(Buffers!$L:$L,MATCH($H258,Buffers!$AE:$AE,0))="Planned",$E258&gt;0,INT($B258)&lt;=PlanDate+ROUNDUP(IF(ISNUMBER(SpikeHorizon),SpikeHorizon,INDEX(Buffers!$D:$D,MATCH($H258,Buffers!$AE:$AE,0))),0),$E258&gt;=SpikePct*INDEX(Buffers!$P:$P,MATCH($H258,Buffers!$AE:$AE,0))),"Spike","Not qualified"))))))</f>
        <v/>
      </c>
      <c r="G258" s="8" t="str">
        <f aca="false">IF($A258="","",IF(OR($F258="Past due",$F258="Due today",$F258="Spike"),$C258,0))</f>
        <v/>
      </c>
      <c r="H258" s="8" t="str">
        <f aca="false">IF($A258="","",SUBSTITUTE(SUBSTITUTE(SUBSTITUTE($A258&amp;"","~","~~"),"*","~*"),"?","~?"))</f>
        <v/>
      </c>
    </row>
    <row r="259" customFormat="false" ht="15" hidden="false" customHeight="false" outlineLevel="0" collapsed="false">
      <c r="A259" s="11"/>
      <c r="B259" s="6"/>
      <c r="C259" s="11"/>
      <c r="D259" s="11"/>
      <c r="E259" s="8" t="str">
        <f aca="false">IF($A259="","",SUMIFS($C:$C,$A:$A,$H259,$B:$B,"&gt;="&amp;INT($B259),$B:$B,"&lt;"&amp;(INT($B259)+1)))</f>
        <v/>
      </c>
      <c r="F259" s="19" t="str">
        <f aca="false">IF($A259="","",IF(ISNA(MATCH($H259,Buffers!$AE:$AE,0)),"Not on Buffers",IF(NOT(ISNUMBER($B259)),"Needs a date",IF(INT($B259)&lt;PlanDate,"Past due",IF(INT($B259)=PlanDate,"Due today",IF(AND(INDEX(Buffers!$L:$L,MATCH($H259,Buffers!$AE:$AE,0))="Planned",$E259&gt;0,INT($B259)&lt;=PlanDate+ROUNDUP(IF(ISNUMBER(SpikeHorizon),SpikeHorizon,INDEX(Buffers!$D:$D,MATCH($H259,Buffers!$AE:$AE,0))),0),$E259&gt;=SpikePct*INDEX(Buffers!$P:$P,MATCH($H259,Buffers!$AE:$AE,0))),"Spike","Not qualified"))))))</f>
        <v/>
      </c>
      <c r="G259" s="8" t="str">
        <f aca="false">IF($A259="","",IF(OR($F259="Past due",$F259="Due today",$F259="Spike"),$C259,0))</f>
        <v/>
      </c>
      <c r="H259" s="8" t="str">
        <f aca="false">IF($A259="","",SUBSTITUTE(SUBSTITUTE(SUBSTITUTE($A259&amp;"","~","~~"),"*","~*"),"?","~?"))</f>
        <v/>
      </c>
    </row>
    <row r="260" customFormat="false" ht="15" hidden="false" customHeight="false" outlineLevel="0" collapsed="false">
      <c r="A260" s="11"/>
      <c r="B260" s="6"/>
      <c r="C260" s="11"/>
      <c r="D260" s="11"/>
      <c r="E260" s="8" t="str">
        <f aca="false">IF($A260="","",SUMIFS($C:$C,$A:$A,$H260,$B:$B,"&gt;="&amp;INT($B260),$B:$B,"&lt;"&amp;(INT($B260)+1)))</f>
        <v/>
      </c>
      <c r="F260" s="19" t="str">
        <f aca="false">IF($A260="","",IF(ISNA(MATCH($H260,Buffers!$AE:$AE,0)),"Not on Buffers",IF(NOT(ISNUMBER($B260)),"Needs a date",IF(INT($B260)&lt;PlanDate,"Past due",IF(INT($B260)=PlanDate,"Due today",IF(AND(INDEX(Buffers!$L:$L,MATCH($H260,Buffers!$AE:$AE,0))="Planned",$E260&gt;0,INT($B260)&lt;=PlanDate+ROUNDUP(IF(ISNUMBER(SpikeHorizon),SpikeHorizon,INDEX(Buffers!$D:$D,MATCH($H260,Buffers!$AE:$AE,0))),0),$E260&gt;=SpikePct*INDEX(Buffers!$P:$P,MATCH($H260,Buffers!$AE:$AE,0))),"Spike","Not qualified"))))))</f>
        <v/>
      </c>
      <c r="G260" s="8" t="str">
        <f aca="false">IF($A260="","",IF(OR($F260="Past due",$F260="Due today",$F260="Spike"),$C260,0))</f>
        <v/>
      </c>
      <c r="H260" s="8" t="str">
        <f aca="false">IF($A260="","",SUBSTITUTE(SUBSTITUTE(SUBSTITUTE($A260&amp;"","~","~~"),"*","~*"),"?","~?"))</f>
        <v/>
      </c>
    </row>
    <row r="261" customFormat="false" ht="15" hidden="false" customHeight="false" outlineLevel="0" collapsed="false">
      <c r="A261" s="11"/>
      <c r="B261" s="6"/>
      <c r="C261" s="11"/>
      <c r="D261" s="11"/>
      <c r="E261" s="8" t="str">
        <f aca="false">IF($A261="","",SUMIFS($C:$C,$A:$A,$H261,$B:$B,"&gt;="&amp;INT($B261),$B:$B,"&lt;"&amp;(INT($B261)+1)))</f>
        <v/>
      </c>
      <c r="F261" s="19" t="str">
        <f aca="false">IF($A261="","",IF(ISNA(MATCH($H261,Buffers!$AE:$AE,0)),"Not on Buffers",IF(NOT(ISNUMBER($B261)),"Needs a date",IF(INT($B261)&lt;PlanDate,"Past due",IF(INT($B261)=PlanDate,"Due today",IF(AND(INDEX(Buffers!$L:$L,MATCH($H261,Buffers!$AE:$AE,0))="Planned",$E261&gt;0,INT($B261)&lt;=PlanDate+ROUNDUP(IF(ISNUMBER(SpikeHorizon),SpikeHorizon,INDEX(Buffers!$D:$D,MATCH($H261,Buffers!$AE:$AE,0))),0),$E261&gt;=SpikePct*INDEX(Buffers!$P:$P,MATCH($H261,Buffers!$AE:$AE,0))),"Spike","Not qualified"))))))</f>
        <v/>
      </c>
      <c r="G261" s="8" t="str">
        <f aca="false">IF($A261="","",IF(OR($F261="Past due",$F261="Due today",$F261="Spike"),$C261,0))</f>
        <v/>
      </c>
      <c r="H261" s="8" t="str">
        <f aca="false">IF($A261="","",SUBSTITUTE(SUBSTITUTE(SUBSTITUTE($A261&amp;"","~","~~"),"*","~*"),"?","~?"))</f>
        <v/>
      </c>
    </row>
    <row r="262" customFormat="false" ht="15" hidden="false" customHeight="false" outlineLevel="0" collapsed="false">
      <c r="A262" s="11"/>
      <c r="B262" s="6"/>
      <c r="C262" s="11"/>
      <c r="D262" s="11"/>
      <c r="E262" s="8" t="str">
        <f aca="false">IF($A262="","",SUMIFS($C:$C,$A:$A,$H262,$B:$B,"&gt;="&amp;INT($B262),$B:$B,"&lt;"&amp;(INT($B262)+1)))</f>
        <v/>
      </c>
      <c r="F262" s="19" t="str">
        <f aca="false">IF($A262="","",IF(ISNA(MATCH($H262,Buffers!$AE:$AE,0)),"Not on Buffers",IF(NOT(ISNUMBER($B262)),"Needs a date",IF(INT($B262)&lt;PlanDate,"Past due",IF(INT($B262)=PlanDate,"Due today",IF(AND(INDEX(Buffers!$L:$L,MATCH($H262,Buffers!$AE:$AE,0))="Planned",$E262&gt;0,INT($B262)&lt;=PlanDate+ROUNDUP(IF(ISNUMBER(SpikeHorizon),SpikeHorizon,INDEX(Buffers!$D:$D,MATCH($H262,Buffers!$AE:$AE,0))),0),$E262&gt;=SpikePct*INDEX(Buffers!$P:$P,MATCH($H262,Buffers!$AE:$AE,0))),"Spike","Not qualified"))))))</f>
        <v/>
      </c>
      <c r="G262" s="8" t="str">
        <f aca="false">IF($A262="","",IF(OR($F262="Past due",$F262="Due today",$F262="Spike"),$C262,0))</f>
        <v/>
      </c>
      <c r="H262" s="8" t="str">
        <f aca="false">IF($A262="","",SUBSTITUTE(SUBSTITUTE(SUBSTITUTE($A262&amp;"","~","~~"),"*","~*"),"?","~?"))</f>
        <v/>
      </c>
    </row>
    <row r="263" customFormat="false" ht="15" hidden="false" customHeight="false" outlineLevel="0" collapsed="false">
      <c r="A263" s="11"/>
      <c r="B263" s="6"/>
      <c r="C263" s="11"/>
      <c r="D263" s="11"/>
      <c r="E263" s="8" t="str">
        <f aca="false">IF($A263="","",SUMIFS($C:$C,$A:$A,$H263,$B:$B,"&gt;="&amp;INT($B263),$B:$B,"&lt;"&amp;(INT($B263)+1)))</f>
        <v/>
      </c>
      <c r="F263" s="19" t="str">
        <f aca="false">IF($A263="","",IF(ISNA(MATCH($H263,Buffers!$AE:$AE,0)),"Not on Buffers",IF(NOT(ISNUMBER($B263)),"Needs a date",IF(INT($B263)&lt;PlanDate,"Past due",IF(INT($B263)=PlanDate,"Due today",IF(AND(INDEX(Buffers!$L:$L,MATCH($H263,Buffers!$AE:$AE,0))="Planned",$E263&gt;0,INT($B263)&lt;=PlanDate+ROUNDUP(IF(ISNUMBER(SpikeHorizon),SpikeHorizon,INDEX(Buffers!$D:$D,MATCH($H263,Buffers!$AE:$AE,0))),0),$E263&gt;=SpikePct*INDEX(Buffers!$P:$P,MATCH($H263,Buffers!$AE:$AE,0))),"Spike","Not qualified"))))))</f>
        <v/>
      </c>
      <c r="G263" s="8" t="str">
        <f aca="false">IF($A263="","",IF(OR($F263="Past due",$F263="Due today",$F263="Spike"),$C263,0))</f>
        <v/>
      </c>
      <c r="H263" s="8" t="str">
        <f aca="false">IF($A263="","",SUBSTITUTE(SUBSTITUTE(SUBSTITUTE($A263&amp;"","~","~~"),"*","~*"),"?","~?"))</f>
        <v/>
      </c>
    </row>
    <row r="264" customFormat="false" ht="15" hidden="false" customHeight="false" outlineLevel="0" collapsed="false">
      <c r="A264" s="11"/>
      <c r="B264" s="6"/>
      <c r="C264" s="11"/>
      <c r="D264" s="11"/>
      <c r="E264" s="8" t="str">
        <f aca="false">IF($A264="","",SUMIFS($C:$C,$A:$A,$H264,$B:$B,"&gt;="&amp;INT($B264),$B:$B,"&lt;"&amp;(INT($B264)+1)))</f>
        <v/>
      </c>
      <c r="F264" s="19" t="str">
        <f aca="false">IF($A264="","",IF(ISNA(MATCH($H264,Buffers!$AE:$AE,0)),"Not on Buffers",IF(NOT(ISNUMBER($B264)),"Needs a date",IF(INT($B264)&lt;PlanDate,"Past due",IF(INT($B264)=PlanDate,"Due today",IF(AND(INDEX(Buffers!$L:$L,MATCH($H264,Buffers!$AE:$AE,0))="Planned",$E264&gt;0,INT($B264)&lt;=PlanDate+ROUNDUP(IF(ISNUMBER(SpikeHorizon),SpikeHorizon,INDEX(Buffers!$D:$D,MATCH($H264,Buffers!$AE:$AE,0))),0),$E264&gt;=SpikePct*INDEX(Buffers!$P:$P,MATCH($H264,Buffers!$AE:$AE,0))),"Spike","Not qualified"))))))</f>
        <v/>
      </c>
      <c r="G264" s="8" t="str">
        <f aca="false">IF($A264="","",IF(OR($F264="Past due",$F264="Due today",$F264="Spike"),$C264,0))</f>
        <v/>
      </c>
      <c r="H264" s="8" t="str">
        <f aca="false">IF($A264="","",SUBSTITUTE(SUBSTITUTE(SUBSTITUTE($A264&amp;"","~","~~"),"*","~*"),"?","~?"))</f>
        <v/>
      </c>
    </row>
    <row r="265" customFormat="false" ht="15" hidden="false" customHeight="false" outlineLevel="0" collapsed="false">
      <c r="A265" s="11"/>
      <c r="B265" s="6"/>
      <c r="C265" s="11"/>
      <c r="D265" s="11"/>
      <c r="E265" s="8" t="str">
        <f aca="false">IF($A265="","",SUMIFS($C:$C,$A:$A,$H265,$B:$B,"&gt;="&amp;INT($B265),$B:$B,"&lt;"&amp;(INT($B265)+1)))</f>
        <v/>
      </c>
      <c r="F265" s="19" t="str">
        <f aca="false">IF($A265="","",IF(ISNA(MATCH($H265,Buffers!$AE:$AE,0)),"Not on Buffers",IF(NOT(ISNUMBER($B265)),"Needs a date",IF(INT($B265)&lt;PlanDate,"Past due",IF(INT($B265)=PlanDate,"Due today",IF(AND(INDEX(Buffers!$L:$L,MATCH($H265,Buffers!$AE:$AE,0))="Planned",$E265&gt;0,INT($B265)&lt;=PlanDate+ROUNDUP(IF(ISNUMBER(SpikeHorizon),SpikeHorizon,INDEX(Buffers!$D:$D,MATCH($H265,Buffers!$AE:$AE,0))),0),$E265&gt;=SpikePct*INDEX(Buffers!$P:$P,MATCH($H265,Buffers!$AE:$AE,0))),"Spike","Not qualified"))))))</f>
        <v/>
      </c>
      <c r="G265" s="8" t="str">
        <f aca="false">IF($A265="","",IF(OR($F265="Past due",$F265="Due today",$F265="Spike"),$C265,0))</f>
        <v/>
      </c>
      <c r="H265" s="8" t="str">
        <f aca="false">IF($A265="","",SUBSTITUTE(SUBSTITUTE(SUBSTITUTE($A265&amp;"","~","~~"),"*","~*"),"?","~?"))</f>
        <v/>
      </c>
    </row>
    <row r="266" customFormat="false" ht="15" hidden="false" customHeight="false" outlineLevel="0" collapsed="false">
      <c r="A266" s="11"/>
      <c r="B266" s="6"/>
      <c r="C266" s="11"/>
      <c r="D266" s="11"/>
      <c r="E266" s="8" t="str">
        <f aca="false">IF($A266="","",SUMIFS($C:$C,$A:$A,$H266,$B:$B,"&gt;="&amp;INT($B266),$B:$B,"&lt;"&amp;(INT($B266)+1)))</f>
        <v/>
      </c>
      <c r="F266" s="19" t="str">
        <f aca="false">IF($A266="","",IF(ISNA(MATCH($H266,Buffers!$AE:$AE,0)),"Not on Buffers",IF(NOT(ISNUMBER($B266)),"Needs a date",IF(INT($B266)&lt;PlanDate,"Past due",IF(INT($B266)=PlanDate,"Due today",IF(AND(INDEX(Buffers!$L:$L,MATCH($H266,Buffers!$AE:$AE,0))="Planned",$E266&gt;0,INT($B266)&lt;=PlanDate+ROUNDUP(IF(ISNUMBER(SpikeHorizon),SpikeHorizon,INDEX(Buffers!$D:$D,MATCH($H266,Buffers!$AE:$AE,0))),0),$E266&gt;=SpikePct*INDEX(Buffers!$P:$P,MATCH($H266,Buffers!$AE:$AE,0))),"Spike","Not qualified"))))))</f>
        <v/>
      </c>
      <c r="G266" s="8" t="str">
        <f aca="false">IF($A266="","",IF(OR($F266="Past due",$F266="Due today",$F266="Spike"),$C266,0))</f>
        <v/>
      </c>
      <c r="H266" s="8" t="str">
        <f aca="false">IF($A266="","",SUBSTITUTE(SUBSTITUTE(SUBSTITUTE($A266&amp;"","~","~~"),"*","~*"),"?","~?"))</f>
        <v/>
      </c>
    </row>
    <row r="267" customFormat="false" ht="15" hidden="false" customHeight="false" outlineLevel="0" collapsed="false">
      <c r="A267" s="11"/>
      <c r="B267" s="6"/>
      <c r="C267" s="11"/>
      <c r="D267" s="11"/>
      <c r="E267" s="8" t="str">
        <f aca="false">IF($A267="","",SUMIFS($C:$C,$A:$A,$H267,$B:$B,"&gt;="&amp;INT($B267),$B:$B,"&lt;"&amp;(INT($B267)+1)))</f>
        <v/>
      </c>
      <c r="F267" s="19" t="str">
        <f aca="false">IF($A267="","",IF(ISNA(MATCH($H267,Buffers!$AE:$AE,0)),"Not on Buffers",IF(NOT(ISNUMBER($B267)),"Needs a date",IF(INT($B267)&lt;PlanDate,"Past due",IF(INT($B267)=PlanDate,"Due today",IF(AND(INDEX(Buffers!$L:$L,MATCH($H267,Buffers!$AE:$AE,0))="Planned",$E267&gt;0,INT($B267)&lt;=PlanDate+ROUNDUP(IF(ISNUMBER(SpikeHorizon),SpikeHorizon,INDEX(Buffers!$D:$D,MATCH($H267,Buffers!$AE:$AE,0))),0),$E267&gt;=SpikePct*INDEX(Buffers!$P:$P,MATCH($H267,Buffers!$AE:$AE,0))),"Spike","Not qualified"))))))</f>
        <v/>
      </c>
      <c r="G267" s="8" t="str">
        <f aca="false">IF($A267="","",IF(OR($F267="Past due",$F267="Due today",$F267="Spike"),$C267,0))</f>
        <v/>
      </c>
      <c r="H267" s="8" t="str">
        <f aca="false">IF($A267="","",SUBSTITUTE(SUBSTITUTE(SUBSTITUTE($A267&amp;"","~","~~"),"*","~*"),"?","~?"))</f>
        <v/>
      </c>
    </row>
    <row r="268" customFormat="false" ht="15" hidden="false" customHeight="false" outlineLevel="0" collapsed="false">
      <c r="A268" s="11"/>
      <c r="B268" s="6"/>
      <c r="C268" s="11"/>
      <c r="D268" s="11"/>
      <c r="E268" s="8" t="str">
        <f aca="false">IF($A268="","",SUMIFS($C:$C,$A:$A,$H268,$B:$B,"&gt;="&amp;INT($B268),$B:$B,"&lt;"&amp;(INT($B268)+1)))</f>
        <v/>
      </c>
      <c r="F268" s="19" t="str">
        <f aca="false">IF($A268="","",IF(ISNA(MATCH($H268,Buffers!$AE:$AE,0)),"Not on Buffers",IF(NOT(ISNUMBER($B268)),"Needs a date",IF(INT($B268)&lt;PlanDate,"Past due",IF(INT($B268)=PlanDate,"Due today",IF(AND(INDEX(Buffers!$L:$L,MATCH($H268,Buffers!$AE:$AE,0))="Planned",$E268&gt;0,INT($B268)&lt;=PlanDate+ROUNDUP(IF(ISNUMBER(SpikeHorizon),SpikeHorizon,INDEX(Buffers!$D:$D,MATCH($H268,Buffers!$AE:$AE,0))),0),$E268&gt;=SpikePct*INDEX(Buffers!$P:$P,MATCH($H268,Buffers!$AE:$AE,0))),"Spike","Not qualified"))))))</f>
        <v/>
      </c>
      <c r="G268" s="8" t="str">
        <f aca="false">IF($A268="","",IF(OR($F268="Past due",$F268="Due today",$F268="Spike"),$C268,0))</f>
        <v/>
      </c>
      <c r="H268" s="8" t="str">
        <f aca="false">IF($A268="","",SUBSTITUTE(SUBSTITUTE(SUBSTITUTE($A268&amp;"","~","~~"),"*","~*"),"?","~?"))</f>
        <v/>
      </c>
    </row>
    <row r="269" customFormat="false" ht="15" hidden="false" customHeight="false" outlineLevel="0" collapsed="false">
      <c r="A269" s="11"/>
      <c r="B269" s="6"/>
      <c r="C269" s="11"/>
      <c r="D269" s="11"/>
      <c r="E269" s="8" t="str">
        <f aca="false">IF($A269="","",SUMIFS($C:$C,$A:$A,$H269,$B:$B,"&gt;="&amp;INT($B269),$B:$B,"&lt;"&amp;(INT($B269)+1)))</f>
        <v/>
      </c>
      <c r="F269" s="19" t="str">
        <f aca="false">IF($A269="","",IF(ISNA(MATCH($H269,Buffers!$AE:$AE,0)),"Not on Buffers",IF(NOT(ISNUMBER($B269)),"Needs a date",IF(INT($B269)&lt;PlanDate,"Past due",IF(INT($B269)=PlanDate,"Due today",IF(AND(INDEX(Buffers!$L:$L,MATCH($H269,Buffers!$AE:$AE,0))="Planned",$E269&gt;0,INT($B269)&lt;=PlanDate+ROUNDUP(IF(ISNUMBER(SpikeHorizon),SpikeHorizon,INDEX(Buffers!$D:$D,MATCH($H269,Buffers!$AE:$AE,0))),0),$E269&gt;=SpikePct*INDEX(Buffers!$P:$P,MATCH($H269,Buffers!$AE:$AE,0))),"Spike","Not qualified"))))))</f>
        <v/>
      </c>
      <c r="G269" s="8" t="str">
        <f aca="false">IF($A269="","",IF(OR($F269="Past due",$F269="Due today",$F269="Spike"),$C269,0))</f>
        <v/>
      </c>
      <c r="H269" s="8" t="str">
        <f aca="false">IF($A269="","",SUBSTITUTE(SUBSTITUTE(SUBSTITUTE($A269&amp;"","~","~~"),"*","~*"),"?","~?"))</f>
        <v/>
      </c>
    </row>
    <row r="270" customFormat="false" ht="15" hidden="false" customHeight="false" outlineLevel="0" collapsed="false">
      <c r="A270" s="11"/>
      <c r="B270" s="6"/>
      <c r="C270" s="11"/>
      <c r="D270" s="11"/>
      <c r="E270" s="8" t="str">
        <f aca="false">IF($A270="","",SUMIFS($C:$C,$A:$A,$H270,$B:$B,"&gt;="&amp;INT($B270),$B:$B,"&lt;"&amp;(INT($B270)+1)))</f>
        <v/>
      </c>
      <c r="F270" s="19" t="str">
        <f aca="false">IF($A270="","",IF(ISNA(MATCH($H270,Buffers!$AE:$AE,0)),"Not on Buffers",IF(NOT(ISNUMBER($B270)),"Needs a date",IF(INT($B270)&lt;PlanDate,"Past due",IF(INT($B270)=PlanDate,"Due today",IF(AND(INDEX(Buffers!$L:$L,MATCH($H270,Buffers!$AE:$AE,0))="Planned",$E270&gt;0,INT($B270)&lt;=PlanDate+ROUNDUP(IF(ISNUMBER(SpikeHorizon),SpikeHorizon,INDEX(Buffers!$D:$D,MATCH($H270,Buffers!$AE:$AE,0))),0),$E270&gt;=SpikePct*INDEX(Buffers!$P:$P,MATCH($H270,Buffers!$AE:$AE,0))),"Spike","Not qualified"))))))</f>
        <v/>
      </c>
      <c r="G270" s="8" t="str">
        <f aca="false">IF($A270="","",IF(OR($F270="Past due",$F270="Due today",$F270="Spike"),$C270,0))</f>
        <v/>
      </c>
      <c r="H270" s="8" t="str">
        <f aca="false">IF($A270="","",SUBSTITUTE(SUBSTITUTE(SUBSTITUTE($A270&amp;"","~","~~"),"*","~*"),"?","~?"))</f>
        <v/>
      </c>
    </row>
    <row r="271" customFormat="false" ht="15" hidden="false" customHeight="false" outlineLevel="0" collapsed="false">
      <c r="A271" s="11"/>
      <c r="B271" s="6"/>
      <c r="C271" s="11"/>
      <c r="D271" s="11"/>
      <c r="E271" s="8" t="str">
        <f aca="false">IF($A271="","",SUMIFS($C:$C,$A:$A,$H271,$B:$B,"&gt;="&amp;INT($B271),$B:$B,"&lt;"&amp;(INT($B271)+1)))</f>
        <v/>
      </c>
      <c r="F271" s="19" t="str">
        <f aca="false">IF($A271="","",IF(ISNA(MATCH($H271,Buffers!$AE:$AE,0)),"Not on Buffers",IF(NOT(ISNUMBER($B271)),"Needs a date",IF(INT($B271)&lt;PlanDate,"Past due",IF(INT($B271)=PlanDate,"Due today",IF(AND(INDEX(Buffers!$L:$L,MATCH($H271,Buffers!$AE:$AE,0))="Planned",$E271&gt;0,INT($B271)&lt;=PlanDate+ROUNDUP(IF(ISNUMBER(SpikeHorizon),SpikeHorizon,INDEX(Buffers!$D:$D,MATCH($H271,Buffers!$AE:$AE,0))),0),$E271&gt;=SpikePct*INDEX(Buffers!$P:$P,MATCH($H271,Buffers!$AE:$AE,0))),"Spike","Not qualified"))))))</f>
        <v/>
      </c>
      <c r="G271" s="8" t="str">
        <f aca="false">IF($A271="","",IF(OR($F271="Past due",$F271="Due today",$F271="Spike"),$C271,0))</f>
        <v/>
      </c>
      <c r="H271" s="8" t="str">
        <f aca="false">IF($A271="","",SUBSTITUTE(SUBSTITUTE(SUBSTITUTE($A271&amp;"","~","~~"),"*","~*"),"?","~?"))</f>
        <v/>
      </c>
    </row>
    <row r="272" customFormat="false" ht="15" hidden="false" customHeight="false" outlineLevel="0" collapsed="false">
      <c r="A272" s="11"/>
      <c r="B272" s="6"/>
      <c r="C272" s="11"/>
      <c r="D272" s="11"/>
      <c r="E272" s="8" t="str">
        <f aca="false">IF($A272="","",SUMIFS($C:$C,$A:$A,$H272,$B:$B,"&gt;="&amp;INT($B272),$B:$B,"&lt;"&amp;(INT($B272)+1)))</f>
        <v/>
      </c>
      <c r="F272" s="19" t="str">
        <f aca="false">IF($A272="","",IF(ISNA(MATCH($H272,Buffers!$AE:$AE,0)),"Not on Buffers",IF(NOT(ISNUMBER($B272)),"Needs a date",IF(INT($B272)&lt;PlanDate,"Past due",IF(INT($B272)=PlanDate,"Due today",IF(AND(INDEX(Buffers!$L:$L,MATCH($H272,Buffers!$AE:$AE,0))="Planned",$E272&gt;0,INT($B272)&lt;=PlanDate+ROUNDUP(IF(ISNUMBER(SpikeHorizon),SpikeHorizon,INDEX(Buffers!$D:$D,MATCH($H272,Buffers!$AE:$AE,0))),0),$E272&gt;=SpikePct*INDEX(Buffers!$P:$P,MATCH($H272,Buffers!$AE:$AE,0))),"Spike","Not qualified"))))))</f>
        <v/>
      </c>
      <c r="G272" s="8" t="str">
        <f aca="false">IF($A272="","",IF(OR($F272="Past due",$F272="Due today",$F272="Spike"),$C272,0))</f>
        <v/>
      </c>
      <c r="H272" s="8" t="str">
        <f aca="false">IF($A272="","",SUBSTITUTE(SUBSTITUTE(SUBSTITUTE($A272&amp;"","~","~~"),"*","~*"),"?","~?"))</f>
        <v/>
      </c>
    </row>
    <row r="273" customFormat="false" ht="15" hidden="false" customHeight="false" outlineLevel="0" collapsed="false">
      <c r="A273" s="11"/>
      <c r="B273" s="6"/>
      <c r="C273" s="11"/>
      <c r="D273" s="11"/>
      <c r="E273" s="8" t="str">
        <f aca="false">IF($A273="","",SUMIFS($C:$C,$A:$A,$H273,$B:$B,"&gt;="&amp;INT($B273),$B:$B,"&lt;"&amp;(INT($B273)+1)))</f>
        <v/>
      </c>
      <c r="F273" s="19" t="str">
        <f aca="false">IF($A273="","",IF(ISNA(MATCH($H273,Buffers!$AE:$AE,0)),"Not on Buffers",IF(NOT(ISNUMBER($B273)),"Needs a date",IF(INT($B273)&lt;PlanDate,"Past due",IF(INT($B273)=PlanDate,"Due today",IF(AND(INDEX(Buffers!$L:$L,MATCH($H273,Buffers!$AE:$AE,0))="Planned",$E273&gt;0,INT($B273)&lt;=PlanDate+ROUNDUP(IF(ISNUMBER(SpikeHorizon),SpikeHorizon,INDEX(Buffers!$D:$D,MATCH($H273,Buffers!$AE:$AE,0))),0),$E273&gt;=SpikePct*INDEX(Buffers!$P:$P,MATCH($H273,Buffers!$AE:$AE,0))),"Spike","Not qualified"))))))</f>
        <v/>
      </c>
      <c r="G273" s="8" t="str">
        <f aca="false">IF($A273="","",IF(OR($F273="Past due",$F273="Due today",$F273="Spike"),$C273,0))</f>
        <v/>
      </c>
      <c r="H273" s="8" t="str">
        <f aca="false">IF($A273="","",SUBSTITUTE(SUBSTITUTE(SUBSTITUTE($A273&amp;"","~","~~"),"*","~*"),"?","~?"))</f>
        <v/>
      </c>
    </row>
    <row r="274" customFormat="false" ht="15" hidden="false" customHeight="false" outlineLevel="0" collapsed="false">
      <c r="A274" s="11"/>
      <c r="B274" s="6"/>
      <c r="C274" s="11"/>
      <c r="D274" s="11"/>
      <c r="E274" s="8" t="str">
        <f aca="false">IF($A274="","",SUMIFS($C:$C,$A:$A,$H274,$B:$B,"&gt;="&amp;INT($B274),$B:$B,"&lt;"&amp;(INT($B274)+1)))</f>
        <v/>
      </c>
      <c r="F274" s="19" t="str">
        <f aca="false">IF($A274="","",IF(ISNA(MATCH($H274,Buffers!$AE:$AE,0)),"Not on Buffers",IF(NOT(ISNUMBER($B274)),"Needs a date",IF(INT($B274)&lt;PlanDate,"Past due",IF(INT($B274)=PlanDate,"Due today",IF(AND(INDEX(Buffers!$L:$L,MATCH($H274,Buffers!$AE:$AE,0))="Planned",$E274&gt;0,INT($B274)&lt;=PlanDate+ROUNDUP(IF(ISNUMBER(SpikeHorizon),SpikeHorizon,INDEX(Buffers!$D:$D,MATCH($H274,Buffers!$AE:$AE,0))),0),$E274&gt;=SpikePct*INDEX(Buffers!$P:$P,MATCH($H274,Buffers!$AE:$AE,0))),"Spike","Not qualified"))))))</f>
        <v/>
      </c>
      <c r="G274" s="8" t="str">
        <f aca="false">IF($A274="","",IF(OR($F274="Past due",$F274="Due today",$F274="Spike"),$C274,0))</f>
        <v/>
      </c>
      <c r="H274" s="8" t="str">
        <f aca="false">IF($A274="","",SUBSTITUTE(SUBSTITUTE(SUBSTITUTE($A274&amp;"","~","~~"),"*","~*"),"?","~?"))</f>
        <v/>
      </c>
    </row>
    <row r="275" customFormat="false" ht="15" hidden="false" customHeight="false" outlineLevel="0" collapsed="false">
      <c r="A275" s="11"/>
      <c r="B275" s="6"/>
      <c r="C275" s="11"/>
      <c r="D275" s="11"/>
      <c r="E275" s="8" t="str">
        <f aca="false">IF($A275="","",SUMIFS($C:$C,$A:$A,$H275,$B:$B,"&gt;="&amp;INT($B275),$B:$B,"&lt;"&amp;(INT($B275)+1)))</f>
        <v/>
      </c>
      <c r="F275" s="19" t="str">
        <f aca="false">IF($A275="","",IF(ISNA(MATCH($H275,Buffers!$AE:$AE,0)),"Not on Buffers",IF(NOT(ISNUMBER($B275)),"Needs a date",IF(INT($B275)&lt;PlanDate,"Past due",IF(INT($B275)=PlanDate,"Due today",IF(AND(INDEX(Buffers!$L:$L,MATCH($H275,Buffers!$AE:$AE,0))="Planned",$E275&gt;0,INT($B275)&lt;=PlanDate+ROUNDUP(IF(ISNUMBER(SpikeHorizon),SpikeHorizon,INDEX(Buffers!$D:$D,MATCH($H275,Buffers!$AE:$AE,0))),0),$E275&gt;=SpikePct*INDEX(Buffers!$P:$P,MATCH($H275,Buffers!$AE:$AE,0))),"Spike","Not qualified"))))))</f>
        <v/>
      </c>
      <c r="G275" s="8" t="str">
        <f aca="false">IF($A275="","",IF(OR($F275="Past due",$F275="Due today",$F275="Spike"),$C275,0))</f>
        <v/>
      </c>
      <c r="H275" s="8" t="str">
        <f aca="false">IF($A275="","",SUBSTITUTE(SUBSTITUTE(SUBSTITUTE($A275&amp;"","~","~~"),"*","~*"),"?","~?"))</f>
        <v/>
      </c>
    </row>
    <row r="276" customFormat="false" ht="15" hidden="false" customHeight="false" outlineLevel="0" collapsed="false">
      <c r="A276" s="11"/>
      <c r="B276" s="6"/>
      <c r="C276" s="11"/>
      <c r="D276" s="11"/>
      <c r="E276" s="8" t="str">
        <f aca="false">IF($A276="","",SUMIFS($C:$C,$A:$A,$H276,$B:$B,"&gt;="&amp;INT($B276),$B:$B,"&lt;"&amp;(INT($B276)+1)))</f>
        <v/>
      </c>
      <c r="F276" s="19" t="str">
        <f aca="false">IF($A276="","",IF(ISNA(MATCH($H276,Buffers!$AE:$AE,0)),"Not on Buffers",IF(NOT(ISNUMBER($B276)),"Needs a date",IF(INT($B276)&lt;PlanDate,"Past due",IF(INT($B276)=PlanDate,"Due today",IF(AND(INDEX(Buffers!$L:$L,MATCH($H276,Buffers!$AE:$AE,0))="Planned",$E276&gt;0,INT($B276)&lt;=PlanDate+ROUNDUP(IF(ISNUMBER(SpikeHorizon),SpikeHorizon,INDEX(Buffers!$D:$D,MATCH($H276,Buffers!$AE:$AE,0))),0),$E276&gt;=SpikePct*INDEX(Buffers!$P:$P,MATCH($H276,Buffers!$AE:$AE,0))),"Spike","Not qualified"))))))</f>
        <v/>
      </c>
      <c r="G276" s="8" t="str">
        <f aca="false">IF($A276="","",IF(OR($F276="Past due",$F276="Due today",$F276="Spike"),$C276,0))</f>
        <v/>
      </c>
      <c r="H276" s="8" t="str">
        <f aca="false">IF($A276="","",SUBSTITUTE(SUBSTITUTE(SUBSTITUTE($A276&amp;"","~","~~"),"*","~*"),"?","~?"))</f>
        <v/>
      </c>
    </row>
    <row r="277" customFormat="false" ht="15" hidden="false" customHeight="false" outlineLevel="0" collapsed="false">
      <c r="A277" s="11"/>
      <c r="B277" s="6"/>
      <c r="C277" s="11"/>
      <c r="D277" s="11"/>
      <c r="E277" s="8" t="str">
        <f aca="false">IF($A277="","",SUMIFS($C:$C,$A:$A,$H277,$B:$B,"&gt;="&amp;INT($B277),$B:$B,"&lt;"&amp;(INT($B277)+1)))</f>
        <v/>
      </c>
      <c r="F277" s="19" t="str">
        <f aca="false">IF($A277="","",IF(ISNA(MATCH($H277,Buffers!$AE:$AE,0)),"Not on Buffers",IF(NOT(ISNUMBER($B277)),"Needs a date",IF(INT($B277)&lt;PlanDate,"Past due",IF(INT($B277)=PlanDate,"Due today",IF(AND(INDEX(Buffers!$L:$L,MATCH($H277,Buffers!$AE:$AE,0))="Planned",$E277&gt;0,INT($B277)&lt;=PlanDate+ROUNDUP(IF(ISNUMBER(SpikeHorizon),SpikeHorizon,INDEX(Buffers!$D:$D,MATCH($H277,Buffers!$AE:$AE,0))),0),$E277&gt;=SpikePct*INDEX(Buffers!$P:$P,MATCH($H277,Buffers!$AE:$AE,0))),"Spike","Not qualified"))))))</f>
        <v/>
      </c>
      <c r="G277" s="8" t="str">
        <f aca="false">IF($A277="","",IF(OR($F277="Past due",$F277="Due today",$F277="Spike"),$C277,0))</f>
        <v/>
      </c>
      <c r="H277" s="8" t="str">
        <f aca="false">IF($A277="","",SUBSTITUTE(SUBSTITUTE(SUBSTITUTE($A277&amp;"","~","~~"),"*","~*"),"?","~?"))</f>
        <v/>
      </c>
    </row>
    <row r="278" customFormat="false" ht="15" hidden="false" customHeight="false" outlineLevel="0" collapsed="false">
      <c r="A278" s="11"/>
      <c r="B278" s="6"/>
      <c r="C278" s="11"/>
      <c r="D278" s="11"/>
      <c r="E278" s="8" t="str">
        <f aca="false">IF($A278="","",SUMIFS($C:$C,$A:$A,$H278,$B:$B,"&gt;="&amp;INT($B278),$B:$B,"&lt;"&amp;(INT($B278)+1)))</f>
        <v/>
      </c>
      <c r="F278" s="19" t="str">
        <f aca="false">IF($A278="","",IF(ISNA(MATCH($H278,Buffers!$AE:$AE,0)),"Not on Buffers",IF(NOT(ISNUMBER($B278)),"Needs a date",IF(INT($B278)&lt;PlanDate,"Past due",IF(INT($B278)=PlanDate,"Due today",IF(AND(INDEX(Buffers!$L:$L,MATCH($H278,Buffers!$AE:$AE,0))="Planned",$E278&gt;0,INT($B278)&lt;=PlanDate+ROUNDUP(IF(ISNUMBER(SpikeHorizon),SpikeHorizon,INDEX(Buffers!$D:$D,MATCH($H278,Buffers!$AE:$AE,0))),0),$E278&gt;=SpikePct*INDEX(Buffers!$P:$P,MATCH($H278,Buffers!$AE:$AE,0))),"Spike","Not qualified"))))))</f>
        <v/>
      </c>
      <c r="G278" s="8" t="str">
        <f aca="false">IF($A278="","",IF(OR($F278="Past due",$F278="Due today",$F278="Spike"),$C278,0))</f>
        <v/>
      </c>
      <c r="H278" s="8" t="str">
        <f aca="false">IF($A278="","",SUBSTITUTE(SUBSTITUTE(SUBSTITUTE($A278&amp;"","~","~~"),"*","~*"),"?","~?"))</f>
        <v/>
      </c>
    </row>
    <row r="279" customFormat="false" ht="15" hidden="false" customHeight="false" outlineLevel="0" collapsed="false">
      <c r="A279" s="11"/>
      <c r="B279" s="6"/>
      <c r="C279" s="11"/>
      <c r="D279" s="11"/>
      <c r="E279" s="8" t="str">
        <f aca="false">IF($A279="","",SUMIFS($C:$C,$A:$A,$H279,$B:$B,"&gt;="&amp;INT($B279),$B:$B,"&lt;"&amp;(INT($B279)+1)))</f>
        <v/>
      </c>
      <c r="F279" s="19" t="str">
        <f aca="false">IF($A279="","",IF(ISNA(MATCH($H279,Buffers!$AE:$AE,0)),"Not on Buffers",IF(NOT(ISNUMBER($B279)),"Needs a date",IF(INT($B279)&lt;PlanDate,"Past due",IF(INT($B279)=PlanDate,"Due today",IF(AND(INDEX(Buffers!$L:$L,MATCH($H279,Buffers!$AE:$AE,0))="Planned",$E279&gt;0,INT($B279)&lt;=PlanDate+ROUNDUP(IF(ISNUMBER(SpikeHorizon),SpikeHorizon,INDEX(Buffers!$D:$D,MATCH($H279,Buffers!$AE:$AE,0))),0),$E279&gt;=SpikePct*INDEX(Buffers!$P:$P,MATCH($H279,Buffers!$AE:$AE,0))),"Spike","Not qualified"))))))</f>
        <v/>
      </c>
      <c r="G279" s="8" t="str">
        <f aca="false">IF($A279="","",IF(OR($F279="Past due",$F279="Due today",$F279="Spike"),$C279,0))</f>
        <v/>
      </c>
      <c r="H279" s="8" t="str">
        <f aca="false">IF($A279="","",SUBSTITUTE(SUBSTITUTE(SUBSTITUTE($A279&amp;"","~","~~"),"*","~*"),"?","~?"))</f>
        <v/>
      </c>
    </row>
    <row r="280" customFormat="false" ht="15" hidden="false" customHeight="false" outlineLevel="0" collapsed="false">
      <c r="A280" s="11"/>
      <c r="B280" s="6"/>
      <c r="C280" s="11"/>
      <c r="D280" s="11"/>
      <c r="E280" s="8" t="str">
        <f aca="false">IF($A280="","",SUMIFS($C:$C,$A:$A,$H280,$B:$B,"&gt;="&amp;INT($B280),$B:$B,"&lt;"&amp;(INT($B280)+1)))</f>
        <v/>
      </c>
      <c r="F280" s="19" t="str">
        <f aca="false">IF($A280="","",IF(ISNA(MATCH($H280,Buffers!$AE:$AE,0)),"Not on Buffers",IF(NOT(ISNUMBER($B280)),"Needs a date",IF(INT($B280)&lt;PlanDate,"Past due",IF(INT($B280)=PlanDate,"Due today",IF(AND(INDEX(Buffers!$L:$L,MATCH($H280,Buffers!$AE:$AE,0))="Planned",$E280&gt;0,INT($B280)&lt;=PlanDate+ROUNDUP(IF(ISNUMBER(SpikeHorizon),SpikeHorizon,INDEX(Buffers!$D:$D,MATCH($H280,Buffers!$AE:$AE,0))),0),$E280&gt;=SpikePct*INDEX(Buffers!$P:$P,MATCH($H280,Buffers!$AE:$AE,0))),"Spike","Not qualified"))))))</f>
        <v/>
      </c>
      <c r="G280" s="8" t="str">
        <f aca="false">IF($A280="","",IF(OR($F280="Past due",$F280="Due today",$F280="Spike"),$C280,0))</f>
        <v/>
      </c>
      <c r="H280" s="8" t="str">
        <f aca="false">IF($A280="","",SUBSTITUTE(SUBSTITUTE(SUBSTITUTE($A280&amp;"","~","~~"),"*","~*"),"?","~?"))</f>
        <v/>
      </c>
    </row>
    <row r="281" customFormat="false" ht="15" hidden="false" customHeight="false" outlineLevel="0" collapsed="false">
      <c r="A281" s="11"/>
      <c r="B281" s="6"/>
      <c r="C281" s="11"/>
      <c r="D281" s="11"/>
      <c r="E281" s="8" t="str">
        <f aca="false">IF($A281="","",SUMIFS($C:$C,$A:$A,$H281,$B:$B,"&gt;="&amp;INT($B281),$B:$B,"&lt;"&amp;(INT($B281)+1)))</f>
        <v/>
      </c>
      <c r="F281" s="19" t="str">
        <f aca="false">IF($A281="","",IF(ISNA(MATCH($H281,Buffers!$AE:$AE,0)),"Not on Buffers",IF(NOT(ISNUMBER($B281)),"Needs a date",IF(INT($B281)&lt;PlanDate,"Past due",IF(INT($B281)=PlanDate,"Due today",IF(AND(INDEX(Buffers!$L:$L,MATCH($H281,Buffers!$AE:$AE,0))="Planned",$E281&gt;0,INT($B281)&lt;=PlanDate+ROUNDUP(IF(ISNUMBER(SpikeHorizon),SpikeHorizon,INDEX(Buffers!$D:$D,MATCH($H281,Buffers!$AE:$AE,0))),0),$E281&gt;=SpikePct*INDEX(Buffers!$P:$P,MATCH($H281,Buffers!$AE:$AE,0))),"Spike","Not qualified"))))))</f>
        <v/>
      </c>
      <c r="G281" s="8" t="str">
        <f aca="false">IF($A281="","",IF(OR($F281="Past due",$F281="Due today",$F281="Spike"),$C281,0))</f>
        <v/>
      </c>
      <c r="H281" s="8" t="str">
        <f aca="false">IF($A281="","",SUBSTITUTE(SUBSTITUTE(SUBSTITUTE($A281&amp;"","~","~~"),"*","~*"),"?","~?"))</f>
        <v/>
      </c>
    </row>
    <row r="282" customFormat="false" ht="15" hidden="false" customHeight="false" outlineLevel="0" collapsed="false">
      <c r="A282" s="11"/>
      <c r="B282" s="6"/>
      <c r="C282" s="11"/>
      <c r="D282" s="11"/>
      <c r="E282" s="8" t="str">
        <f aca="false">IF($A282="","",SUMIFS($C:$C,$A:$A,$H282,$B:$B,"&gt;="&amp;INT($B282),$B:$B,"&lt;"&amp;(INT($B282)+1)))</f>
        <v/>
      </c>
      <c r="F282" s="19" t="str">
        <f aca="false">IF($A282="","",IF(ISNA(MATCH($H282,Buffers!$AE:$AE,0)),"Not on Buffers",IF(NOT(ISNUMBER($B282)),"Needs a date",IF(INT($B282)&lt;PlanDate,"Past due",IF(INT($B282)=PlanDate,"Due today",IF(AND(INDEX(Buffers!$L:$L,MATCH($H282,Buffers!$AE:$AE,0))="Planned",$E282&gt;0,INT($B282)&lt;=PlanDate+ROUNDUP(IF(ISNUMBER(SpikeHorizon),SpikeHorizon,INDEX(Buffers!$D:$D,MATCH($H282,Buffers!$AE:$AE,0))),0),$E282&gt;=SpikePct*INDEX(Buffers!$P:$P,MATCH($H282,Buffers!$AE:$AE,0))),"Spike","Not qualified"))))))</f>
        <v/>
      </c>
      <c r="G282" s="8" t="str">
        <f aca="false">IF($A282="","",IF(OR($F282="Past due",$F282="Due today",$F282="Spike"),$C282,0))</f>
        <v/>
      </c>
      <c r="H282" s="8" t="str">
        <f aca="false">IF($A282="","",SUBSTITUTE(SUBSTITUTE(SUBSTITUTE($A282&amp;"","~","~~"),"*","~*"),"?","~?"))</f>
        <v/>
      </c>
    </row>
    <row r="283" customFormat="false" ht="15" hidden="false" customHeight="false" outlineLevel="0" collapsed="false">
      <c r="A283" s="11"/>
      <c r="B283" s="6"/>
      <c r="C283" s="11"/>
      <c r="D283" s="11"/>
      <c r="E283" s="8" t="str">
        <f aca="false">IF($A283="","",SUMIFS($C:$C,$A:$A,$H283,$B:$B,"&gt;="&amp;INT($B283),$B:$B,"&lt;"&amp;(INT($B283)+1)))</f>
        <v/>
      </c>
      <c r="F283" s="19" t="str">
        <f aca="false">IF($A283="","",IF(ISNA(MATCH($H283,Buffers!$AE:$AE,0)),"Not on Buffers",IF(NOT(ISNUMBER($B283)),"Needs a date",IF(INT($B283)&lt;PlanDate,"Past due",IF(INT($B283)=PlanDate,"Due today",IF(AND(INDEX(Buffers!$L:$L,MATCH($H283,Buffers!$AE:$AE,0))="Planned",$E283&gt;0,INT($B283)&lt;=PlanDate+ROUNDUP(IF(ISNUMBER(SpikeHorizon),SpikeHorizon,INDEX(Buffers!$D:$D,MATCH($H283,Buffers!$AE:$AE,0))),0),$E283&gt;=SpikePct*INDEX(Buffers!$P:$P,MATCH($H283,Buffers!$AE:$AE,0))),"Spike","Not qualified"))))))</f>
        <v/>
      </c>
      <c r="G283" s="8" t="str">
        <f aca="false">IF($A283="","",IF(OR($F283="Past due",$F283="Due today",$F283="Spike"),$C283,0))</f>
        <v/>
      </c>
      <c r="H283" s="8" t="str">
        <f aca="false">IF($A283="","",SUBSTITUTE(SUBSTITUTE(SUBSTITUTE($A283&amp;"","~","~~"),"*","~*"),"?","~?"))</f>
        <v/>
      </c>
    </row>
    <row r="284" customFormat="false" ht="15" hidden="false" customHeight="false" outlineLevel="0" collapsed="false">
      <c r="A284" s="11"/>
      <c r="B284" s="6"/>
      <c r="C284" s="11"/>
      <c r="D284" s="11"/>
      <c r="E284" s="8" t="str">
        <f aca="false">IF($A284="","",SUMIFS($C:$C,$A:$A,$H284,$B:$B,"&gt;="&amp;INT($B284),$B:$B,"&lt;"&amp;(INT($B284)+1)))</f>
        <v/>
      </c>
      <c r="F284" s="19" t="str">
        <f aca="false">IF($A284="","",IF(ISNA(MATCH($H284,Buffers!$AE:$AE,0)),"Not on Buffers",IF(NOT(ISNUMBER($B284)),"Needs a date",IF(INT($B284)&lt;PlanDate,"Past due",IF(INT($B284)=PlanDate,"Due today",IF(AND(INDEX(Buffers!$L:$L,MATCH($H284,Buffers!$AE:$AE,0))="Planned",$E284&gt;0,INT($B284)&lt;=PlanDate+ROUNDUP(IF(ISNUMBER(SpikeHorizon),SpikeHorizon,INDEX(Buffers!$D:$D,MATCH($H284,Buffers!$AE:$AE,0))),0),$E284&gt;=SpikePct*INDEX(Buffers!$P:$P,MATCH($H284,Buffers!$AE:$AE,0))),"Spike","Not qualified"))))))</f>
        <v/>
      </c>
      <c r="G284" s="8" t="str">
        <f aca="false">IF($A284="","",IF(OR($F284="Past due",$F284="Due today",$F284="Spike"),$C284,0))</f>
        <v/>
      </c>
      <c r="H284" s="8" t="str">
        <f aca="false">IF($A284="","",SUBSTITUTE(SUBSTITUTE(SUBSTITUTE($A284&amp;"","~","~~"),"*","~*"),"?","~?"))</f>
        <v/>
      </c>
    </row>
    <row r="285" customFormat="false" ht="15" hidden="false" customHeight="false" outlineLevel="0" collapsed="false">
      <c r="A285" s="11"/>
      <c r="B285" s="6"/>
      <c r="C285" s="11"/>
      <c r="D285" s="11"/>
      <c r="E285" s="8" t="str">
        <f aca="false">IF($A285="","",SUMIFS($C:$C,$A:$A,$H285,$B:$B,"&gt;="&amp;INT($B285),$B:$B,"&lt;"&amp;(INT($B285)+1)))</f>
        <v/>
      </c>
      <c r="F285" s="19" t="str">
        <f aca="false">IF($A285="","",IF(ISNA(MATCH($H285,Buffers!$AE:$AE,0)),"Not on Buffers",IF(NOT(ISNUMBER($B285)),"Needs a date",IF(INT($B285)&lt;PlanDate,"Past due",IF(INT($B285)=PlanDate,"Due today",IF(AND(INDEX(Buffers!$L:$L,MATCH($H285,Buffers!$AE:$AE,0))="Planned",$E285&gt;0,INT($B285)&lt;=PlanDate+ROUNDUP(IF(ISNUMBER(SpikeHorizon),SpikeHorizon,INDEX(Buffers!$D:$D,MATCH($H285,Buffers!$AE:$AE,0))),0),$E285&gt;=SpikePct*INDEX(Buffers!$P:$P,MATCH($H285,Buffers!$AE:$AE,0))),"Spike","Not qualified"))))))</f>
        <v/>
      </c>
      <c r="G285" s="8" t="str">
        <f aca="false">IF($A285="","",IF(OR($F285="Past due",$F285="Due today",$F285="Spike"),$C285,0))</f>
        <v/>
      </c>
      <c r="H285" s="8" t="str">
        <f aca="false">IF($A285="","",SUBSTITUTE(SUBSTITUTE(SUBSTITUTE($A285&amp;"","~","~~"),"*","~*"),"?","~?"))</f>
        <v/>
      </c>
    </row>
    <row r="286" customFormat="false" ht="15" hidden="false" customHeight="false" outlineLevel="0" collapsed="false">
      <c r="A286" s="11"/>
      <c r="B286" s="6"/>
      <c r="C286" s="11"/>
      <c r="D286" s="11"/>
      <c r="E286" s="8" t="str">
        <f aca="false">IF($A286="","",SUMIFS($C:$C,$A:$A,$H286,$B:$B,"&gt;="&amp;INT($B286),$B:$B,"&lt;"&amp;(INT($B286)+1)))</f>
        <v/>
      </c>
      <c r="F286" s="19" t="str">
        <f aca="false">IF($A286="","",IF(ISNA(MATCH($H286,Buffers!$AE:$AE,0)),"Not on Buffers",IF(NOT(ISNUMBER($B286)),"Needs a date",IF(INT($B286)&lt;PlanDate,"Past due",IF(INT($B286)=PlanDate,"Due today",IF(AND(INDEX(Buffers!$L:$L,MATCH($H286,Buffers!$AE:$AE,0))="Planned",$E286&gt;0,INT($B286)&lt;=PlanDate+ROUNDUP(IF(ISNUMBER(SpikeHorizon),SpikeHorizon,INDEX(Buffers!$D:$D,MATCH($H286,Buffers!$AE:$AE,0))),0),$E286&gt;=SpikePct*INDEX(Buffers!$P:$P,MATCH($H286,Buffers!$AE:$AE,0))),"Spike","Not qualified"))))))</f>
        <v/>
      </c>
      <c r="G286" s="8" t="str">
        <f aca="false">IF($A286="","",IF(OR($F286="Past due",$F286="Due today",$F286="Spike"),$C286,0))</f>
        <v/>
      </c>
      <c r="H286" s="8" t="str">
        <f aca="false">IF($A286="","",SUBSTITUTE(SUBSTITUTE(SUBSTITUTE($A286&amp;"","~","~~"),"*","~*"),"?","~?"))</f>
        <v/>
      </c>
    </row>
    <row r="287" customFormat="false" ht="15" hidden="false" customHeight="false" outlineLevel="0" collapsed="false">
      <c r="A287" s="11"/>
      <c r="B287" s="6"/>
      <c r="C287" s="11"/>
      <c r="D287" s="11"/>
      <c r="E287" s="8" t="str">
        <f aca="false">IF($A287="","",SUMIFS($C:$C,$A:$A,$H287,$B:$B,"&gt;="&amp;INT($B287),$B:$B,"&lt;"&amp;(INT($B287)+1)))</f>
        <v/>
      </c>
      <c r="F287" s="19" t="str">
        <f aca="false">IF($A287="","",IF(ISNA(MATCH($H287,Buffers!$AE:$AE,0)),"Not on Buffers",IF(NOT(ISNUMBER($B287)),"Needs a date",IF(INT($B287)&lt;PlanDate,"Past due",IF(INT($B287)=PlanDate,"Due today",IF(AND(INDEX(Buffers!$L:$L,MATCH($H287,Buffers!$AE:$AE,0))="Planned",$E287&gt;0,INT($B287)&lt;=PlanDate+ROUNDUP(IF(ISNUMBER(SpikeHorizon),SpikeHorizon,INDEX(Buffers!$D:$D,MATCH($H287,Buffers!$AE:$AE,0))),0),$E287&gt;=SpikePct*INDEX(Buffers!$P:$P,MATCH($H287,Buffers!$AE:$AE,0))),"Spike","Not qualified"))))))</f>
        <v/>
      </c>
      <c r="G287" s="8" t="str">
        <f aca="false">IF($A287="","",IF(OR($F287="Past due",$F287="Due today",$F287="Spike"),$C287,0))</f>
        <v/>
      </c>
      <c r="H287" s="8" t="str">
        <f aca="false">IF($A287="","",SUBSTITUTE(SUBSTITUTE(SUBSTITUTE($A287&amp;"","~","~~"),"*","~*"),"?","~?"))</f>
        <v/>
      </c>
    </row>
    <row r="288" customFormat="false" ht="15" hidden="false" customHeight="false" outlineLevel="0" collapsed="false">
      <c r="A288" s="11"/>
      <c r="B288" s="6"/>
      <c r="C288" s="11"/>
      <c r="D288" s="11"/>
      <c r="E288" s="8" t="str">
        <f aca="false">IF($A288="","",SUMIFS($C:$C,$A:$A,$H288,$B:$B,"&gt;="&amp;INT($B288),$B:$B,"&lt;"&amp;(INT($B288)+1)))</f>
        <v/>
      </c>
      <c r="F288" s="19" t="str">
        <f aca="false">IF($A288="","",IF(ISNA(MATCH($H288,Buffers!$AE:$AE,0)),"Not on Buffers",IF(NOT(ISNUMBER($B288)),"Needs a date",IF(INT($B288)&lt;PlanDate,"Past due",IF(INT($B288)=PlanDate,"Due today",IF(AND(INDEX(Buffers!$L:$L,MATCH($H288,Buffers!$AE:$AE,0))="Planned",$E288&gt;0,INT($B288)&lt;=PlanDate+ROUNDUP(IF(ISNUMBER(SpikeHorizon),SpikeHorizon,INDEX(Buffers!$D:$D,MATCH($H288,Buffers!$AE:$AE,0))),0),$E288&gt;=SpikePct*INDEX(Buffers!$P:$P,MATCH($H288,Buffers!$AE:$AE,0))),"Spike","Not qualified"))))))</f>
        <v/>
      </c>
      <c r="G288" s="8" t="str">
        <f aca="false">IF($A288="","",IF(OR($F288="Past due",$F288="Due today",$F288="Spike"),$C288,0))</f>
        <v/>
      </c>
      <c r="H288" s="8" t="str">
        <f aca="false">IF($A288="","",SUBSTITUTE(SUBSTITUTE(SUBSTITUTE($A288&amp;"","~","~~"),"*","~*"),"?","~?"))</f>
        <v/>
      </c>
    </row>
    <row r="289" customFormat="false" ht="15" hidden="false" customHeight="false" outlineLevel="0" collapsed="false">
      <c r="A289" s="11"/>
      <c r="B289" s="6"/>
      <c r="C289" s="11"/>
      <c r="D289" s="11"/>
      <c r="E289" s="8" t="str">
        <f aca="false">IF($A289="","",SUMIFS($C:$C,$A:$A,$H289,$B:$B,"&gt;="&amp;INT($B289),$B:$B,"&lt;"&amp;(INT($B289)+1)))</f>
        <v/>
      </c>
      <c r="F289" s="19" t="str">
        <f aca="false">IF($A289="","",IF(ISNA(MATCH($H289,Buffers!$AE:$AE,0)),"Not on Buffers",IF(NOT(ISNUMBER($B289)),"Needs a date",IF(INT($B289)&lt;PlanDate,"Past due",IF(INT($B289)=PlanDate,"Due today",IF(AND(INDEX(Buffers!$L:$L,MATCH($H289,Buffers!$AE:$AE,0))="Planned",$E289&gt;0,INT($B289)&lt;=PlanDate+ROUNDUP(IF(ISNUMBER(SpikeHorizon),SpikeHorizon,INDEX(Buffers!$D:$D,MATCH($H289,Buffers!$AE:$AE,0))),0),$E289&gt;=SpikePct*INDEX(Buffers!$P:$P,MATCH($H289,Buffers!$AE:$AE,0))),"Spike","Not qualified"))))))</f>
        <v/>
      </c>
      <c r="G289" s="8" t="str">
        <f aca="false">IF($A289="","",IF(OR($F289="Past due",$F289="Due today",$F289="Spike"),$C289,0))</f>
        <v/>
      </c>
      <c r="H289" s="8" t="str">
        <f aca="false">IF($A289="","",SUBSTITUTE(SUBSTITUTE(SUBSTITUTE($A289&amp;"","~","~~"),"*","~*"),"?","~?"))</f>
        <v/>
      </c>
    </row>
    <row r="290" customFormat="false" ht="15" hidden="false" customHeight="false" outlineLevel="0" collapsed="false">
      <c r="A290" s="11"/>
      <c r="B290" s="6"/>
      <c r="C290" s="11"/>
      <c r="D290" s="11"/>
      <c r="E290" s="8" t="str">
        <f aca="false">IF($A290="","",SUMIFS($C:$C,$A:$A,$H290,$B:$B,"&gt;="&amp;INT($B290),$B:$B,"&lt;"&amp;(INT($B290)+1)))</f>
        <v/>
      </c>
      <c r="F290" s="19" t="str">
        <f aca="false">IF($A290="","",IF(ISNA(MATCH($H290,Buffers!$AE:$AE,0)),"Not on Buffers",IF(NOT(ISNUMBER($B290)),"Needs a date",IF(INT($B290)&lt;PlanDate,"Past due",IF(INT($B290)=PlanDate,"Due today",IF(AND(INDEX(Buffers!$L:$L,MATCH($H290,Buffers!$AE:$AE,0))="Planned",$E290&gt;0,INT($B290)&lt;=PlanDate+ROUNDUP(IF(ISNUMBER(SpikeHorizon),SpikeHorizon,INDEX(Buffers!$D:$D,MATCH($H290,Buffers!$AE:$AE,0))),0),$E290&gt;=SpikePct*INDEX(Buffers!$P:$P,MATCH($H290,Buffers!$AE:$AE,0))),"Spike","Not qualified"))))))</f>
        <v/>
      </c>
      <c r="G290" s="8" t="str">
        <f aca="false">IF($A290="","",IF(OR($F290="Past due",$F290="Due today",$F290="Spike"),$C290,0))</f>
        <v/>
      </c>
      <c r="H290" s="8" t="str">
        <f aca="false">IF($A290="","",SUBSTITUTE(SUBSTITUTE(SUBSTITUTE($A290&amp;"","~","~~"),"*","~*"),"?","~?"))</f>
        <v/>
      </c>
    </row>
    <row r="291" customFormat="false" ht="15" hidden="false" customHeight="false" outlineLevel="0" collapsed="false">
      <c r="A291" s="11"/>
      <c r="B291" s="6"/>
      <c r="C291" s="11"/>
      <c r="D291" s="11"/>
      <c r="E291" s="8" t="str">
        <f aca="false">IF($A291="","",SUMIFS($C:$C,$A:$A,$H291,$B:$B,"&gt;="&amp;INT($B291),$B:$B,"&lt;"&amp;(INT($B291)+1)))</f>
        <v/>
      </c>
      <c r="F291" s="19" t="str">
        <f aca="false">IF($A291="","",IF(ISNA(MATCH($H291,Buffers!$AE:$AE,0)),"Not on Buffers",IF(NOT(ISNUMBER($B291)),"Needs a date",IF(INT($B291)&lt;PlanDate,"Past due",IF(INT($B291)=PlanDate,"Due today",IF(AND(INDEX(Buffers!$L:$L,MATCH($H291,Buffers!$AE:$AE,0))="Planned",$E291&gt;0,INT($B291)&lt;=PlanDate+ROUNDUP(IF(ISNUMBER(SpikeHorizon),SpikeHorizon,INDEX(Buffers!$D:$D,MATCH($H291,Buffers!$AE:$AE,0))),0),$E291&gt;=SpikePct*INDEX(Buffers!$P:$P,MATCH($H291,Buffers!$AE:$AE,0))),"Spike","Not qualified"))))))</f>
        <v/>
      </c>
      <c r="G291" s="8" t="str">
        <f aca="false">IF($A291="","",IF(OR($F291="Past due",$F291="Due today",$F291="Spike"),$C291,0))</f>
        <v/>
      </c>
      <c r="H291" s="8" t="str">
        <f aca="false">IF($A291="","",SUBSTITUTE(SUBSTITUTE(SUBSTITUTE($A291&amp;"","~","~~"),"*","~*"),"?","~?"))</f>
        <v/>
      </c>
    </row>
    <row r="292" customFormat="false" ht="15" hidden="false" customHeight="false" outlineLevel="0" collapsed="false">
      <c r="A292" s="11"/>
      <c r="B292" s="6"/>
      <c r="C292" s="11"/>
      <c r="D292" s="11"/>
      <c r="E292" s="8" t="str">
        <f aca="false">IF($A292="","",SUMIFS($C:$C,$A:$A,$H292,$B:$B,"&gt;="&amp;INT($B292),$B:$B,"&lt;"&amp;(INT($B292)+1)))</f>
        <v/>
      </c>
      <c r="F292" s="19" t="str">
        <f aca="false">IF($A292="","",IF(ISNA(MATCH($H292,Buffers!$AE:$AE,0)),"Not on Buffers",IF(NOT(ISNUMBER($B292)),"Needs a date",IF(INT($B292)&lt;PlanDate,"Past due",IF(INT($B292)=PlanDate,"Due today",IF(AND(INDEX(Buffers!$L:$L,MATCH($H292,Buffers!$AE:$AE,0))="Planned",$E292&gt;0,INT($B292)&lt;=PlanDate+ROUNDUP(IF(ISNUMBER(SpikeHorizon),SpikeHorizon,INDEX(Buffers!$D:$D,MATCH($H292,Buffers!$AE:$AE,0))),0),$E292&gt;=SpikePct*INDEX(Buffers!$P:$P,MATCH($H292,Buffers!$AE:$AE,0))),"Spike","Not qualified"))))))</f>
        <v/>
      </c>
      <c r="G292" s="8" t="str">
        <f aca="false">IF($A292="","",IF(OR($F292="Past due",$F292="Due today",$F292="Spike"),$C292,0))</f>
        <v/>
      </c>
      <c r="H292" s="8" t="str">
        <f aca="false">IF($A292="","",SUBSTITUTE(SUBSTITUTE(SUBSTITUTE($A292&amp;"","~","~~"),"*","~*"),"?","~?"))</f>
        <v/>
      </c>
    </row>
    <row r="293" customFormat="false" ht="15" hidden="false" customHeight="false" outlineLevel="0" collapsed="false">
      <c r="A293" s="11"/>
      <c r="B293" s="6"/>
      <c r="C293" s="11"/>
      <c r="D293" s="11"/>
      <c r="E293" s="8" t="str">
        <f aca="false">IF($A293="","",SUMIFS($C:$C,$A:$A,$H293,$B:$B,"&gt;="&amp;INT($B293),$B:$B,"&lt;"&amp;(INT($B293)+1)))</f>
        <v/>
      </c>
      <c r="F293" s="19" t="str">
        <f aca="false">IF($A293="","",IF(ISNA(MATCH($H293,Buffers!$AE:$AE,0)),"Not on Buffers",IF(NOT(ISNUMBER($B293)),"Needs a date",IF(INT($B293)&lt;PlanDate,"Past due",IF(INT($B293)=PlanDate,"Due today",IF(AND(INDEX(Buffers!$L:$L,MATCH($H293,Buffers!$AE:$AE,0))="Planned",$E293&gt;0,INT($B293)&lt;=PlanDate+ROUNDUP(IF(ISNUMBER(SpikeHorizon),SpikeHorizon,INDEX(Buffers!$D:$D,MATCH($H293,Buffers!$AE:$AE,0))),0),$E293&gt;=SpikePct*INDEX(Buffers!$P:$P,MATCH($H293,Buffers!$AE:$AE,0))),"Spike","Not qualified"))))))</f>
        <v/>
      </c>
      <c r="G293" s="8" t="str">
        <f aca="false">IF($A293="","",IF(OR($F293="Past due",$F293="Due today",$F293="Spike"),$C293,0))</f>
        <v/>
      </c>
      <c r="H293" s="8" t="str">
        <f aca="false">IF($A293="","",SUBSTITUTE(SUBSTITUTE(SUBSTITUTE($A293&amp;"","~","~~"),"*","~*"),"?","~?"))</f>
        <v/>
      </c>
    </row>
    <row r="294" customFormat="false" ht="15" hidden="false" customHeight="false" outlineLevel="0" collapsed="false">
      <c r="A294" s="11"/>
      <c r="B294" s="6"/>
      <c r="C294" s="11"/>
      <c r="D294" s="11"/>
      <c r="E294" s="8" t="str">
        <f aca="false">IF($A294="","",SUMIFS($C:$C,$A:$A,$H294,$B:$B,"&gt;="&amp;INT($B294),$B:$B,"&lt;"&amp;(INT($B294)+1)))</f>
        <v/>
      </c>
      <c r="F294" s="19" t="str">
        <f aca="false">IF($A294="","",IF(ISNA(MATCH($H294,Buffers!$AE:$AE,0)),"Not on Buffers",IF(NOT(ISNUMBER($B294)),"Needs a date",IF(INT($B294)&lt;PlanDate,"Past due",IF(INT($B294)=PlanDate,"Due today",IF(AND(INDEX(Buffers!$L:$L,MATCH($H294,Buffers!$AE:$AE,0))="Planned",$E294&gt;0,INT($B294)&lt;=PlanDate+ROUNDUP(IF(ISNUMBER(SpikeHorizon),SpikeHorizon,INDEX(Buffers!$D:$D,MATCH($H294,Buffers!$AE:$AE,0))),0),$E294&gt;=SpikePct*INDEX(Buffers!$P:$P,MATCH($H294,Buffers!$AE:$AE,0))),"Spike","Not qualified"))))))</f>
        <v/>
      </c>
      <c r="G294" s="8" t="str">
        <f aca="false">IF($A294="","",IF(OR($F294="Past due",$F294="Due today",$F294="Spike"),$C294,0))</f>
        <v/>
      </c>
      <c r="H294" s="8" t="str">
        <f aca="false">IF($A294="","",SUBSTITUTE(SUBSTITUTE(SUBSTITUTE($A294&amp;"","~","~~"),"*","~*"),"?","~?"))</f>
        <v/>
      </c>
    </row>
    <row r="295" customFormat="false" ht="15" hidden="false" customHeight="false" outlineLevel="0" collapsed="false">
      <c r="A295" s="11"/>
      <c r="B295" s="6"/>
      <c r="C295" s="11"/>
      <c r="D295" s="11"/>
      <c r="E295" s="8" t="str">
        <f aca="false">IF($A295="","",SUMIFS($C:$C,$A:$A,$H295,$B:$B,"&gt;="&amp;INT($B295),$B:$B,"&lt;"&amp;(INT($B295)+1)))</f>
        <v/>
      </c>
      <c r="F295" s="19" t="str">
        <f aca="false">IF($A295="","",IF(ISNA(MATCH($H295,Buffers!$AE:$AE,0)),"Not on Buffers",IF(NOT(ISNUMBER($B295)),"Needs a date",IF(INT($B295)&lt;PlanDate,"Past due",IF(INT($B295)=PlanDate,"Due today",IF(AND(INDEX(Buffers!$L:$L,MATCH($H295,Buffers!$AE:$AE,0))="Planned",$E295&gt;0,INT($B295)&lt;=PlanDate+ROUNDUP(IF(ISNUMBER(SpikeHorizon),SpikeHorizon,INDEX(Buffers!$D:$D,MATCH($H295,Buffers!$AE:$AE,0))),0),$E295&gt;=SpikePct*INDEX(Buffers!$P:$P,MATCH($H295,Buffers!$AE:$AE,0))),"Spike","Not qualified"))))))</f>
        <v/>
      </c>
      <c r="G295" s="8" t="str">
        <f aca="false">IF($A295="","",IF(OR($F295="Past due",$F295="Due today",$F295="Spike"),$C295,0))</f>
        <v/>
      </c>
      <c r="H295" s="8" t="str">
        <f aca="false">IF($A295="","",SUBSTITUTE(SUBSTITUTE(SUBSTITUTE($A295&amp;"","~","~~"),"*","~*"),"?","~?"))</f>
        <v/>
      </c>
    </row>
    <row r="296" customFormat="false" ht="15" hidden="false" customHeight="false" outlineLevel="0" collapsed="false">
      <c r="A296" s="11"/>
      <c r="B296" s="6"/>
      <c r="C296" s="11"/>
      <c r="D296" s="11"/>
      <c r="E296" s="8" t="str">
        <f aca="false">IF($A296="","",SUMIFS($C:$C,$A:$A,$H296,$B:$B,"&gt;="&amp;INT($B296),$B:$B,"&lt;"&amp;(INT($B296)+1)))</f>
        <v/>
      </c>
      <c r="F296" s="19" t="str">
        <f aca="false">IF($A296="","",IF(ISNA(MATCH($H296,Buffers!$AE:$AE,0)),"Not on Buffers",IF(NOT(ISNUMBER($B296)),"Needs a date",IF(INT($B296)&lt;PlanDate,"Past due",IF(INT($B296)=PlanDate,"Due today",IF(AND(INDEX(Buffers!$L:$L,MATCH($H296,Buffers!$AE:$AE,0))="Planned",$E296&gt;0,INT($B296)&lt;=PlanDate+ROUNDUP(IF(ISNUMBER(SpikeHorizon),SpikeHorizon,INDEX(Buffers!$D:$D,MATCH($H296,Buffers!$AE:$AE,0))),0),$E296&gt;=SpikePct*INDEX(Buffers!$P:$P,MATCH($H296,Buffers!$AE:$AE,0))),"Spike","Not qualified"))))))</f>
        <v/>
      </c>
      <c r="G296" s="8" t="str">
        <f aca="false">IF($A296="","",IF(OR($F296="Past due",$F296="Due today",$F296="Spike"),$C296,0))</f>
        <v/>
      </c>
      <c r="H296" s="8" t="str">
        <f aca="false">IF($A296="","",SUBSTITUTE(SUBSTITUTE(SUBSTITUTE($A296&amp;"","~","~~"),"*","~*"),"?","~?"))</f>
        <v/>
      </c>
    </row>
    <row r="297" customFormat="false" ht="15" hidden="false" customHeight="false" outlineLevel="0" collapsed="false">
      <c r="A297" s="11"/>
      <c r="B297" s="6"/>
      <c r="C297" s="11"/>
      <c r="D297" s="11"/>
      <c r="E297" s="8" t="str">
        <f aca="false">IF($A297="","",SUMIFS($C:$C,$A:$A,$H297,$B:$B,"&gt;="&amp;INT($B297),$B:$B,"&lt;"&amp;(INT($B297)+1)))</f>
        <v/>
      </c>
      <c r="F297" s="19" t="str">
        <f aca="false">IF($A297="","",IF(ISNA(MATCH($H297,Buffers!$AE:$AE,0)),"Not on Buffers",IF(NOT(ISNUMBER($B297)),"Needs a date",IF(INT($B297)&lt;PlanDate,"Past due",IF(INT($B297)=PlanDate,"Due today",IF(AND(INDEX(Buffers!$L:$L,MATCH($H297,Buffers!$AE:$AE,0))="Planned",$E297&gt;0,INT($B297)&lt;=PlanDate+ROUNDUP(IF(ISNUMBER(SpikeHorizon),SpikeHorizon,INDEX(Buffers!$D:$D,MATCH($H297,Buffers!$AE:$AE,0))),0),$E297&gt;=SpikePct*INDEX(Buffers!$P:$P,MATCH($H297,Buffers!$AE:$AE,0))),"Spike","Not qualified"))))))</f>
        <v/>
      </c>
      <c r="G297" s="8" t="str">
        <f aca="false">IF($A297="","",IF(OR($F297="Past due",$F297="Due today",$F297="Spike"),$C297,0))</f>
        <v/>
      </c>
      <c r="H297" s="8" t="str">
        <f aca="false">IF($A297="","",SUBSTITUTE(SUBSTITUTE(SUBSTITUTE($A297&amp;"","~","~~"),"*","~*"),"?","~?"))</f>
        <v/>
      </c>
    </row>
    <row r="298" customFormat="false" ht="15" hidden="false" customHeight="false" outlineLevel="0" collapsed="false">
      <c r="A298" s="11"/>
      <c r="B298" s="6"/>
      <c r="C298" s="11"/>
      <c r="D298" s="11"/>
      <c r="E298" s="8" t="str">
        <f aca="false">IF($A298="","",SUMIFS($C:$C,$A:$A,$H298,$B:$B,"&gt;="&amp;INT($B298),$B:$B,"&lt;"&amp;(INT($B298)+1)))</f>
        <v/>
      </c>
      <c r="F298" s="19" t="str">
        <f aca="false">IF($A298="","",IF(ISNA(MATCH($H298,Buffers!$AE:$AE,0)),"Not on Buffers",IF(NOT(ISNUMBER($B298)),"Needs a date",IF(INT($B298)&lt;PlanDate,"Past due",IF(INT($B298)=PlanDate,"Due today",IF(AND(INDEX(Buffers!$L:$L,MATCH($H298,Buffers!$AE:$AE,0))="Planned",$E298&gt;0,INT($B298)&lt;=PlanDate+ROUNDUP(IF(ISNUMBER(SpikeHorizon),SpikeHorizon,INDEX(Buffers!$D:$D,MATCH($H298,Buffers!$AE:$AE,0))),0),$E298&gt;=SpikePct*INDEX(Buffers!$P:$P,MATCH($H298,Buffers!$AE:$AE,0))),"Spike","Not qualified"))))))</f>
        <v/>
      </c>
      <c r="G298" s="8" t="str">
        <f aca="false">IF($A298="","",IF(OR($F298="Past due",$F298="Due today",$F298="Spike"),$C298,0))</f>
        <v/>
      </c>
      <c r="H298" s="8" t="str">
        <f aca="false">IF($A298="","",SUBSTITUTE(SUBSTITUTE(SUBSTITUTE($A298&amp;"","~","~~"),"*","~*"),"?","~?"))</f>
        <v/>
      </c>
    </row>
    <row r="299" customFormat="false" ht="15" hidden="false" customHeight="false" outlineLevel="0" collapsed="false">
      <c r="A299" s="11"/>
      <c r="B299" s="6"/>
      <c r="C299" s="11"/>
      <c r="D299" s="11"/>
      <c r="E299" s="8" t="str">
        <f aca="false">IF($A299="","",SUMIFS($C:$C,$A:$A,$H299,$B:$B,"&gt;="&amp;INT($B299),$B:$B,"&lt;"&amp;(INT($B299)+1)))</f>
        <v/>
      </c>
      <c r="F299" s="19" t="str">
        <f aca="false">IF($A299="","",IF(ISNA(MATCH($H299,Buffers!$AE:$AE,0)),"Not on Buffers",IF(NOT(ISNUMBER($B299)),"Needs a date",IF(INT($B299)&lt;PlanDate,"Past due",IF(INT($B299)=PlanDate,"Due today",IF(AND(INDEX(Buffers!$L:$L,MATCH($H299,Buffers!$AE:$AE,0))="Planned",$E299&gt;0,INT($B299)&lt;=PlanDate+ROUNDUP(IF(ISNUMBER(SpikeHorizon),SpikeHorizon,INDEX(Buffers!$D:$D,MATCH($H299,Buffers!$AE:$AE,0))),0),$E299&gt;=SpikePct*INDEX(Buffers!$P:$P,MATCH($H299,Buffers!$AE:$AE,0))),"Spike","Not qualified"))))))</f>
        <v/>
      </c>
      <c r="G299" s="8" t="str">
        <f aca="false">IF($A299="","",IF(OR($F299="Past due",$F299="Due today",$F299="Spike"),$C299,0))</f>
        <v/>
      </c>
      <c r="H299" s="8" t="str">
        <f aca="false">IF($A299="","",SUBSTITUTE(SUBSTITUTE(SUBSTITUTE($A299&amp;"","~","~~"),"*","~*"),"?","~?"))</f>
        <v/>
      </c>
    </row>
    <row r="300" customFormat="false" ht="15" hidden="false" customHeight="false" outlineLevel="0" collapsed="false">
      <c r="A300" s="11"/>
      <c r="B300" s="6"/>
      <c r="C300" s="11"/>
      <c r="D300" s="11"/>
      <c r="E300" s="8" t="str">
        <f aca="false">IF($A300="","",SUMIFS($C:$C,$A:$A,$H300,$B:$B,"&gt;="&amp;INT($B300),$B:$B,"&lt;"&amp;(INT($B300)+1)))</f>
        <v/>
      </c>
      <c r="F300" s="19" t="str">
        <f aca="false">IF($A300="","",IF(ISNA(MATCH($H300,Buffers!$AE:$AE,0)),"Not on Buffers",IF(NOT(ISNUMBER($B300)),"Needs a date",IF(INT($B300)&lt;PlanDate,"Past due",IF(INT($B300)=PlanDate,"Due today",IF(AND(INDEX(Buffers!$L:$L,MATCH($H300,Buffers!$AE:$AE,0))="Planned",$E300&gt;0,INT($B300)&lt;=PlanDate+ROUNDUP(IF(ISNUMBER(SpikeHorizon),SpikeHorizon,INDEX(Buffers!$D:$D,MATCH($H300,Buffers!$AE:$AE,0))),0),$E300&gt;=SpikePct*INDEX(Buffers!$P:$P,MATCH($H300,Buffers!$AE:$AE,0))),"Spike","Not qualified"))))))</f>
        <v/>
      </c>
      <c r="G300" s="8" t="str">
        <f aca="false">IF($A300="","",IF(OR($F300="Past due",$F300="Due today",$F300="Spike"),$C300,0))</f>
        <v/>
      </c>
      <c r="H300" s="8" t="str">
        <f aca="false">IF($A300="","",SUBSTITUTE(SUBSTITUTE(SUBSTITUTE($A300&amp;"","~","~~"),"*","~*"),"?","~?"))</f>
        <v/>
      </c>
    </row>
    <row r="301" customFormat="false" ht="15" hidden="false" customHeight="false" outlineLevel="0" collapsed="false">
      <c r="A301" s="11"/>
      <c r="B301" s="6"/>
      <c r="C301" s="11"/>
      <c r="D301" s="11"/>
      <c r="E301" s="8" t="str">
        <f aca="false">IF($A301="","",SUMIFS($C:$C,$A:$A,$H301,$B:$B,"&gt;="&amp;INT($B301),$B:$B,"&lt;"&amp;(INT($B301)+1)))</f>
        <v/>
      </c>
      <c r="F301" s="19" t="str">
        <f aca="false">IF($A301="","",IF(ISNA(MATCH($H301,Buffers!$AE:$AE,0)),"Not on Buffers",IF(NOT(ISNUMBER($B301)),"Needs a date",IF(INT($B301)&lt;PlanDate,"Past due",IF(INT($B301)=PlanDate,"Due today",IF(AND(INDEX(Buffers!$L:$L,MATCH($H301,Buffers!$AE:$AE,0))="Planned",$E301&gt;0,INT($B301)&lt;=PlanDate+ROUNDUP(IF(ISNUMBER(SpikeHorizon),SpikeHorizon,INDEX(Buffers!$D:$D,MATCH($H301,Buffers!$AE:$AE,0))),0),$E301&gt;=SpikePct*INDEX(Buffers!$P:$P,MATCH($H301,Buffers!$AE:$AE,0))),"Spike","Not qualified"))))))</f>
        <v/>
      </c>
      <c r="G301" s="8" t="str">
        <f aca="false">IF($A301="","",IF(OR($F301="Past due",$F301="Due today",$F301="Spike"),$C301,0))</f>
        <v/>
      </c>
      <c r="H301" s="8" t="str">
        <f aca="false">IF($A301="","",SUBSTITUTE(SUBSTITUTE(SUBSTITUTE($A301&amp;"","~","~~"),"*","~*"),"?","~?"))</f>
        <v/>
      </c>
    </row>
    <row r="302" customFormat="false" ht="15" hidden="false" customHeight="false" outlineLevel="0" collapsed="false">
      <c r="A302" s="11"/>
      <c r="B302" s="6"/>
      <c r="C302" s="11"/>
      <c r="D302" s="11"/>
      <c r="E302" s="8" t="str">
        <f aca="false">IF($A302="","",SUMIFS($C:$C,$A:$A,$H302,$B:$B,"&gt;="&amp;INT($B302),$B:$B,"&lt;"&amp;(INT($B302)+1)))</f>
        <v/>
      </c>
      <c r="F302" s="19" t="str">
        <f aca="false">IF($A302="","",IF(ISNA(MATCH($H302,Buffers!$AE:$AE,0)),"Not on Buffers",IF(NOT(ISNUMBER($B302)),"Needs a date",IF(INT($B302)&lt;PlanDate,"Past due",IF(INT($B302)=PlanDate,"Due today",IF(AND(INDEX(Buffers!$L:$L,MATCH($H302,Buffers!$AE:$AE,0))="Planned",$E302&gt;0,INT($B302)&lt;=PlanDate+ROUNDUP(IF(ISNUMBER(SpikeHorizon),SpikeHorizon,INDEX(Buffers!$D:$D,MATCH($H302,Buffers!$AE:$AE,0))),0),$E302&gt;=SpikePct*INDEX(Buffers!$P:$P,MATCH($H302,Buffers!$AE:$AE,0))),"Spike","Not qualified"))))))</f>
        <v/>
      </c>
      <c r="G302" s="8" t="str">
        <f aca="false">IF($A302="","",IF(OR($F302="Past due",$F302="Due today",$F302="Spike"),$C302,0))</f>
        <v/>
      </c>
      <c r="H302" s="8" t="str">
        <f aca="false">IF($A302="","",SUBSTITUTE(SUBSTITUTE(SUBSTITUTE($A302&amp;"","~","~~"),"*","~*"),"?","~?"))</f>
        <v/>
      </c>
    </row>
    <row r="303" customFormat="false" ht="15" hidden="false" customHeight="false" outlineLevel="0" collapsed="false">
      <c r="A303" s="11"/>
      <c r="B303" s="6"/>
      <c r="C303" s="11"/>
      <c r="D303" s="11"/>
      <c r="E303" s="8" t="str">
        <f aca="false">IF($A303="","",SUMIFS($C:$C,$A:$A,$H303,$B:$B,"&gt;="&amp;INT($B303),$B:$B,"&lt;"&amp;(INT($B303)+1)))</f>
        <v/>
      </c>
      <c r="F303" s="19" t="str">
        <f aca="false">IF($A303="","",IF(ISNA(MATCH($H303,Buffers!$AE:$AE,0)),"Not on Buffers",IF(NOT(ISNUMBER($B303)),"Needs a date",IF(INT($B303)&lt;PlanDate,"Past due",IF(INT($B303)=PlanDate,"Due today",IF(AND(INDEX(Buffers!$L:$L,MATCH($H303,Buffers!$AE:$AE,0))="Planned",$E303&gt;0,INT($B303)&lt;=PlanDate+ROUNDUP(IF(ISNUMBER(SpikeHorizon),SpikeHorizon,INDEX(Buffers!$D:$D,MATCH($H303,Buffers!$AE:$AE,0))),0),$E303&gt;=SpikePct*INDEX(Buffers!$P:$P,MATCH($H303,Buffers!$AE:$AE,0))),"Spike","Not qualified"))))))</f>
        <v/>
      </c>
      <c r="G303" s="8" t="str">
        <f aca="false">IF($A303="","",IF(OR($F303="Past due",$F303="Due today",$F303="Spike"),$C303,0))</f>
        <v/>
      </c>
      <c r="H303" s="8" t="str">
        <f aca="false">IF($A303="","",SUBSTITUTE(SUBSTITUTE(SUBSTITUTE($A303&amp;"","~","~~"),"*","~*"),"?","~?"))</f>
        <v/>
      </c>
    </row>
    <row r="304" customFormat="false" ht="15" hidden="false" customHeight="false" outlineLevel="0" collapsed="false">
      <c r="A304" s="11"/>
      <c r="B304" s="6"/>
      <c r="C304" s="11"/>
      <c r="D304" s="11"/>
      <c r="E304" s="8" t="str">
        <f aca="false">IF($A304="","",SUMIFS($C:$C,$A:$A,$H304,$B:$B,"&gt;="&amp;INT($B304),$B:$B,"&lt;"&amp;(INT($B304)+1)))</f>
        <v/>
      </c>
      <c r="F304" s="19" t="str">
        <f aca="false">IF($A304="","",IF(ISNA(MATCH($H304,Buffers!$AE:$AE,0)),"Not on Buffers",IF(NOT(ISNUMBER($B304)),"Needs a date",IF(INT($B304)&lt;PlanDate,"Past due",IF(INT($B304)=PlanDate,"Due today",IF(AND(INDEX(Buffers!$L:$L,MATCH($H304,Buffers!$AE:$AE,0))="Planned",$E304&gt;0,INT($B304)&lt;=PlanDate+ROUNDUP(IF(ISNUMBER(SpikeHorizon),SpikeHorizon,INDEX(Buffers!$D:$D,MATCH($H304,Buffers!$AE:$AE,0))),0),$E304&gt;=SpikePct*INDEX(Buffers!$P:$P,MATCH($H304,Buffers!$AE:$AE,0))),"Spike","Not qualified"))))))</f>
        <v/>
      </c>
      <c r="G304" s="8" t="str">
        <f aca="false">IF($A304="","",IF(OR($F304="Past due",$F304="Due today",$F304="Spike"),$C304,0))</f>
        <v/>
      </c>
      <c r="H304" s="8" t="str">
        <f aca="false">IF($A304="","",SUBSTITUTE(SUBSTITUTE(SUBSTITUTE($A304&amp;"","~","~~"),"*","~*"),"?","~?"))</f>
        <v/>
      </c>
    </row>
    <row r="305" customFormat="false" ht="15" hidden="false" customHeight="false" outlineLevel="0" collapsed="false">
      <c r="A305" s="11"/>
      <c r="B305" s="6"/>
      <c r="C305" s="11"/>
      <c r="D305" s="11"/>
      <c r="E305" s="8" t="str">
        <f aca="false">IF($A305="","",SUMIFS($C:$C,$A:$A,$H305,$B:$B,"&gt;="&amp;INT($B305),$B:$B,"&lt;"&amp;(INT($B305)+1)))</f>
        <v/>
      </c>
      <c r="F305" s="19" t="str">
        <f aca="false">IF($A305="","",IF(ISNA(MATCH($H305,Buffers!$AE:$AE,0)),"Not on Buffers",IF(NOT(ISNUMBER($B305)),"Needs a date",IF(INT($B305)&lt;PlanDate,"Past due",IF(INT($B305)=PlanDate,"Due today",IF(AND(INDEX(Buffers!$L:$L,MATCH($H305,Buffers!$AE:$AE,0))="Planned",$E305&gt;0,INT($B305)&lt;=PlanDate+ROUNDUP(IF(ISNUMBER(SpikeHorizon),SpikeHorizon,INDEX(Buffers!$D:$D,MATCH($H305,Buffers!$AE:$AE,0))),0),$E305&gt;=SpikePct*INDEX(Buffers!$P:$P,MATCH($H305,Buffers!$AE:$AE,0))),"Spike","Not qualified"))))))</f>
        <v/>
      </c>
      <c r="G305" s="8" t="str">
        <f aca="false">IF($A305="","",IF(OR($F305="Past due",$F305="Due today",$F305="Spike"),$C305,0))</f>
        <v/>
      </c>
      <c r="H305" s="8" t="str">
        <f aca="false">IF($A305="","",SUBSTITUTE(SUBSTITUTE(SUBSTITUTE($A305&amp;"","~","~~"),"*","~*"),"?","~?"))</f>
        <v/>
      </c>
    </row>
    <row r="306" customFormat="false" ht="15" hidden="false" customHeight="false" outlineLevel="0" collapsed="false">
      <c r="A306" s="11"/>
      <c r="B306" s="6"/>
      <c r="C306" s="11"/>
      <c r="D306" s="11"/>
      <c r="E306" s="8" t="str">
        <f aca="false">IF($A306="","",SUMIFS($C:$C,$A:$A,$H306,$B:$B,"&gt;="&amp;INT($B306),$B:$B,"&lt;"&amp;(INT($B306)+1)))</f>
        <v/>
      </c>
      <c r="F306" s="19" t="str">
        <f aca="false">IF($A306="","",IF(ISNA(MATCH($H306,Buffers!$AE:$AE,0)),"Not on Buffers",IF(NOT(ISNUMBER($B306)),"Needs a date",IF(INT($B306)&lt;PlanDate,"Past due",IF(INT($B306)=PlanDate,"Due today",IF(AND(INDEX(Buffers!$L:$L,MATCH($H306,Buffers!$AE:$AE,0))="Planned",$E306&gt;0,INT($B306)&lt;=PlanDate+ROUNDUP(IF(ISNUMBER(SpikeHorizon),SpikeHorizon,INDEX(Buffers!$D:$D,MATCH($H306,Buffers!$AE:$AE,0))),0),$E306&gt;=SpikePct*INDEX(Buffers!$P:$P,MATCH($H306,Buffers!$AE:$AE,0))),"Spike","Not qualified"))))))</f>
        <v/>
      </c>
      <c r="G306" s="8" t="str">
        <f aca="false">IF($A306="","",IF(OR($F306="Past due",$F306="Due today",$F306="Spike"),$C306,0))</f>
        <v/>
      </c>
      <c r="H306" s="8" t="str">
        <f aca="false">IF($A306="","",SUBSTITUTE(SUBSTITUTE(SUBSTITUTE($A306&amp;"","~","~~"),"*","~*"),"?","~?"))</f>
        <v/>
      </c>
    </row>
    <row r="307" customFormat="false" ht="15" hidden="false" customHeight="false" outlineLevel="0" collapsed="false">
      <c r="A307" s="11"/>
      <c r="B307" s="6"/>
      <c r="C307" s="11"/>
      <c r="D307" s="11"/>
      <c r="E307" s="8" t="str">
        <f aca="false">IF($A307="","",SUMIFS($C:$C,$A:$A,$H307,$B:$B,"&gt;="&amp;INT($B307),$B:$B,"&lt;"&amp;(INT($B307)+1)))</f>
        <v/>
      </c>
      <c r="F307" s="19" t="str">
        <f aca="false">IF($A307="","",IF(ISNA(MATCH($H307,Buffers!$AE:$AE,0)),"Not on Buffers",IF(NOT(ISNUMBER($B307)),"Needs a date",IF(INT($B307)&lt;PlanDate,"Past due",IF(INT($B307)=PlanDate,"Due today",IF(AND(INDEX(Buffers!$L:$L,MATCH($H307,Buffers!$AE:$AE,0))="Planned",$E307&gt;0,INT($B307)&lt;=PlanDate+ROUNDUP(IF(ISNUMBER(SpikeHorizon),SpikeHorizon,INDEX(Buffers!$D:$D,MATCH($H307,Buffers!$AE:$AE,0))),0),$E307&gt;=SpikePct*INDEX(Buffers!$P:$P,MATCH($H307,Buffers!$AE:$AE,0))),"Spike","Not qualified"))))))</f>
        <v/>
      </c>
      <c r="G307" s="8" t="str">
        <f aca="false">IF($A307="","",IF(OR($F307="Past due",$F307="Due today",$F307="Spike"),$C307,0))</f>
        <v/>
      </c>
      <c r="H307" s="8" t="str">
        <f aca="false">IF($A307="","",SUBSTITUTE(SUBSTITUTE(SUBSTITUTE($A307&amp;"","~","~~"),"*","~*"),"?","~?"))</f>
        <v/>
      </c>
    </row>
    <row r="308" customFormat="false" ht="15" hidden="false" customHeight="false" outlineLevel="0" collapsed="false">
      <c r="A308" s="11"/>
      <c r="B308" s="6"/>
      <c r="C308" s="11"/>
      <c r="D308" s="11"/>
      <c r="E308" s="8" t="str">
        <f aca="false">IF($A308="","",SUMIFS($C:$C,$A:$A,$H308,$B:$B,"&gt;="&amp;INT($B308),$B:$B,"&lt;"&amp;(INT($B308)+1)))</f>
        <v/>
      </c>
      <c r="F308" s="19" t="str">
        <f aca="false">IF($A308="","",IF(ISNA(MATCH($H308,Buffers!$AE:$AE,0)),"Not on Buffers",IF(NOT(ISNUMBER($B308)),"Needs a date",IF(INT($B308)&lt;PlanDate,"Past due",IF(INT($B308)=PlanDate,"Due today",IF(AND(INDEX(Buffers!$L:$L,MATCH($H308,Buffers!$AE:$AE,0))="Planned",$E308&gt;0,INT($B308)&lt;=PlanDate+ROUNDUP(IF(ISNUMBER(SpikeHorizon),SpikeHorizon,INDEX(Buffers!$D:$D,MATCH($H308,Buffers!$AE:$AE,0))),0),$E308&gt;=SpikePct*INDEX(Buffers!$P:$P,MATCH($H308,Buffers!$AE:$AE,0))),"Spike","Not qualified"))))))</f>
        <v/>
      </c>
      <c r="G308" s="8" t="str">
        <f aca="false">IF($A308="","",IF(OR($F308="Past due",$F308="Due today",$F308="Spike"),$C308,0))</f>
        <v/>
      </c>
      <c r="H308" s="8" t="str">
        <f aca="false">IF($A308="","",SUBSTITUTE(SUBSTITUTE(SUBSTITUTE($A308&amp;"","~","~~"),"*","~*"),"?","~?"))</f>
        <v/>
      </c>
    </row>
    <row r="309" customFormat="false" ht="15" hidden="false" customHeight="false" outlineLevel="0" collapsed="false">
      <c r="A309" s="11"/>
      <c r="B309" s="6"/>
      <c r="C309" s="11"/>
      <c r="D309" s="11"/>
      <c r="E309" s="8" t="str">
        <f aca="false">IF($A309="","",SUMIFS($C:$C,$A:$A,$H309,$B:$B,"&gt;="&amp;INT($B309),$B:$B,"&lt;"&amp;(INT($B309)+1)))</f>
        <v/>
      </c>
      <c r="F309" s="19" t="str">
        <f aca="false">IF($A309="","",IF(ISNA(MATCH($H309,Buffers!$AE:$AE,0)),"Not on Buffers",IF(NOT(ISNUMBER($B309)),"Needs a date",IF(INT($B309)&lt;PlanDate,"Past due",IF(INT($B309)=PlanDate,"Due today",IF(AND(INDEX(Buffers!$L:$L,MATCH($H309,Buffers!$AE:$AE,0))="Planned",$E309&gt;0,INT($B309)&lt;=PlanDate+ROUNDUP(IF(ISNUMBER(SpikeHorizon),SpikeHorizon,INDEX(Buffers!$D:$D,MATCH($H309,Buffers!$AE:$AE,0))),0),$E309&gt;=SpikePct*INDEX(Buffers!$P:$P,MATCH($H309,Buffers!$AE:$AE,0))),"Spike","Not qualified"))))))</f>
        <v/>
      </c>
      <c r="G309" s="8" t="str">
        <f aca="false">IF($A309="","",IF(OR($F309="Past due",$F309="Due today",$F309="Spike"),$C309,0))</f>
        <v/>
      </c>
      <c r="H309" s="8" t="str">
        <f aca="false">IF($A309="","",SUBSTITUTE(SUBSTITUTE(SUBSTITUTE($A309&amp;"","~","~~"),"*","~*"),"?","~?"))</f>
        <v/>
      </c>
    </row>
    <row r="310" customFormat="false" ht="15" hidden="false" customHeight="false" outlineLevel="0" collapsed="false">
      <c r="A310" s="11"/>
      <c r="B310" s="6"/>
      <c r="C310" s="11"/>
      <c r="D310" s="11"/>
      <c r="E310" s="8" t="str">
        <f aca="false">IF($A310="","",SUMIFS($C:$C,$A:$A,$H310,$B:$B,"&gt;="&amp;INT($B310),$B:$B,"&lt;"&amp;(INT($B310)+1)))</f>
        <v/>
      </c>
      <c r="F310" s="19" t="str">
        <f aca="false">IF($A310="","",IF(ISNA(MATCH($H310,Buffers!$AE:$AE,0)),"Not on Buffers",IF(NOT(ISNUMBER($B310)),"Needs a date",IF(INT($B310)&lt;PlanDate,"Past due",IF(INT($B310)=PlanDate,"Due today",IF(AND(INDEX(Buffers!$L:$L,MATCH($H310,Buffers!$AE:$AE,0))="Planned",$E310&gt;0,INT($B310)&lt;=PlanDate+ROUNDUP(IF(ISNUMBER(SpikeHorizon),SpikeHorizon,INDEX(Buffers!$D:$D,MATCH($H310,Buffers!$AE:$AE,0))),0),$E310&gt;=SpikePct*INDEX(Buffers!$P:$P,MATCH($H310,Buffers!$AE:$AE,0))),"Spike","Not qualified"))))))</f>
        <v/>
      </c>
      <c r="G310" s="8" t="str">
        <f aca="false">IF($A310="","",IF(OR($F310="Past due",$F310="Due today",$F310="Spike"),$C310,0))</f>
        <v/>
      </c>
      <c r="H310" s="8" t="str">
        <f aca="false">IF($A310="","",SUBSTITUTE(SUBSTITUTE(SUBSTITUTE($A310&amp;"","~","~~"),"*","~*"),"?","~?"))</f>
        <v/>
      </c>
    </row>
    <row r="311" customFormat="false" ht="15" hidden="false" customHeight="false" outlineLevel="0" collapsed="false">
      <c r="A311" s="11"/>
      <c r="B311" s="6"/>
      <c r="C311" s="11"/>
      <c r="D311" s="11"/>
      <c r="E311" s="8" t="str">
        <f aca="false">IF($A311="","",SUMIFS($C:$C,$A:$A,$H311,$B:$B,"&gt;="&amp;INT($B311),$B:$B,"&lt;"&amp;(INT($B311)+1)))</f>
        <v/>
      </c>
      <c r="F311" s="19" t="str">
        <f aca="false">IF($A311="","",IF(ISNA(MATCH($H311,Buffers!$AE:$AE,0)),"Not on Buffers",IF(NOT(ISNUMBER($B311)),"Needs a date",IF(INT($B311)&lt;PlanDate,"Past due",IF(INT($B311)=PlanDate,"Due today",IF(AND(INDEX(Buffers!$L:$L,MATCH($H311,Buffers!$AE:$AE,0))="Planned",$E311&gt;0,INT($B311)&lt;=PlanDate+ROUNDUP(IF(ISNUMBER(SpikeHorizon),SpikeHorizon,INDEX(Buffers!$D:$D,MATCH($H311,Buffers!$AE:$AE,0))),0),$E311&gt;=SpikePct*INDEX(Buffers!$P:$P,MATCH($H311,Buffers!$AE:$AE,0))),"Spike","Not qualified"))))))</f>
        <v/>
      </c>
      <c r="G311" s="8" t="str">
        <f aca="false">IF($A311="","",IF(OR($F311="Past due",$F311="Due today",$F311="Spike"),$C311,0))</f>
        <v/>
      </c>
      <c r="H311" s="8" t="str">
        <f aca="false">IF($A311="","",SUBSTITUTE(SUBSTITUTE(SUBSTITUTE($A311&amp;"","~","~~"),"*","~*"),"?","~?"))</f>
        <v/>
      </c>
    </row>
    <row r="312" customFormat="false" ht="15" hidden="false" customHeight="false" outlineLevel="0" collapsed="false">
      <c r="A312" s="11"/>
      <c r="B312" s="6"/>
      <c r="C312" s="11"/>
      <c r="D312" s="11"/>
      <c r="E312" s="8" t="str">
        <f aca="false">IF($A312="","",SUMIFS($C:$C,$A:$A,$H312,$B:$B,"&gt;="&amp;INT($B312),$B:$B,"&lt;"&amp;(INT($B312)+1)))</f>
        <v/>
      </c>
      <c r="F312" s="19" t="str">
        <f aca="false">IF($A312="","",IF(ISNA(MATCH($H312,Buffers!$AE:$AE,0)),"Not on Buffers",IF(NOT(ISNUMBER($B312)),"Needs a date",IF(INT($B312)&lt;PlanDate,"Past due",IF(INT($B312)=PlanDate,"Due today",IF(AND(INDEX(Buffers!$L:$L,MATCH($H312,Buffers!$AE:$AE,0))="Planned",$E312&gt;0,INT($B312)&lt;=PlanDate+ROUNDUP(IF(ISNUMBER(SpikeHorizon),SpikeHorizon,INDEX(Buffers!$D:$D,MATCH($H312,Buffers!$AE:$AE,0))),0),$E312&gt;=SpikePct*INDEX(Buffers!$P:$P,MATCH($H312,Buffers!$AE:$AE,0))),"Spike","Not qualified"))))))</f>
        <v/>
      </c>
      <c r="G312" s="8" t="str">
        <f aca="false">IF($A312="","",IF(OR($F312="Past due",$F312="Due today",$F312="Spike"),$C312,0))</f>
        <v/>
      </c>
      <c r="H312" s="8" t="str">
        <f aca="false">IF($A312="","",SUBSTITUTE(SUBSTITUTE(SUBSTITUTE($A312&amp;"","~","~~"),"*","~*"),"?","~?"))</f>
        <v/>
      </c>
    </row>
    <row r="313" customFormat="false" ht="15" hidden="false" customHeight="false" outlineLevel="0" collapsed="false">
      <c r="A313" s="11"/>
      <c r="B313" s="6"/>
      <c r="C313" s="11"/>
      <c r="D313" s="11"/>
      <c r="E313" s="8" t="str">
        <f aca="false">IF($A313="","",SUMIFS($C:$C,$A:$A,$H313,$B:$B,"&gt;="&amp;INT($B313),$B:$B,"&lt;"&amp;(INT($B313)+1)))</f>
        <v/>
      </c>
      <c r="F313" s="19" t="str">
        <f aca="false">IF($A313="","",IF(ISNA(MATCH($H313,Buffers!$AE:$AE,0)),"Not on Buffers",IF(NOT(ISNUMBER($B313)),"Needs a date",IF(INT($B313)&lt;PlanDate,"Past due",IF(INT($B313)=PlanDate,"Due today",IF(AND(INDEX(Buffers!$L:$L,MATCH($H313,Buffers!$AE:$AE,0))="Planned",$E313&gt;0,INT($B313)&lt;=PlanDate+ROUNDUP(IF(ISNUMBER(SpikeHorizon),SpikeHorizon,INDEX(Buffers!$D:$D,MATCH($H313,Buffers!$AE:$AE,0))),0),$E313&gt;=SpikePct*INDEX(Buffers!$P:$P,MATCH($H313,Buffers!$AE:$AE,0))),"Spike","Not qualified"))))))</f>
        <v/>
      </c>
      <c r="G313" s="8" t="str">
        <f aca="false">IF($A313="","",IF(OR($F313="Past due",$F313="Due today",$F313="Spike"),$C313,0))</f>
        <v/>
      </c>
      <c r="H313" s="8" t="str">
        <f aca="false">IF($A313="","",SUBSTITUTE(SUBSTITUTE(SUBSTITUTE($A313&amp;"","~","~~"),"*","~*"),"?","~?"))</f>
        <v/>
      </c>
    </row>
    <row r="314" customFormat="false" ht="15" hidden="false" customHeight="false" outlineLevel="0" collapsed="false">
      <c r="A314" s="11"/>
      <c r="B314" s="6"/>
      <c r="C314" s="11"/>
      <c r="D314" s="11"/>
      <c r="E314" s="8" t="str">
        <f aca="false">IF($A314="","",SUMIFS($C:$C,$A:$A,$H314,$B:$B,"&gt;="&amp;INT($B314),$B:$B,"&lt;"&amp;(INT($B314)+1)))</f>
        <v/>
      </c>
      <c r="F314" s="19" t="str">
        <f aca="false">IF($A314="","",IF(ISNA(MATCH($H314,Buffers!$AE:$AE,0)),"Not on Buffers",IF(NOT(ISNUMBER($B314)),"Needs a date",IF(INT($B314)&lt;PlanDate,"Past due",IF(INT($B314)=PlanDate,"Due today",IF(AND(INDEX(Buffers!$L:$L,MATCH($H314,Buffers!$AE:$AE,0))="Planned",$E314&gt;0,INT($B314)&lt;=PlanDate+ROUNDUP(IF(ISNUMBER(SpikeHorizon),SpikeHorizon,INDEX(Buffers!$D:$D,MATCH($H314,Buffers!$AE:$AE,0))),0),$E314&gt;=SpikePct*INDEX(Buffers!$P:$P,MATCH($H314,Buffers!$AE:$AE,0))),"Spike","Not qualified"))))))</f>
        <v/>
      </c>
      <c r="G314" s="8" t="str">
        <f aca="false">IF($A314="","",IF(OR($F314="Past due",$F314="Due today",$F314="Spike"),$C314,0))</f>
        <v/>
      </c>
      <c r="H314" s="8" t="str">
        <f aca="false">IF($A314="","",SUBSTITUTE(SUBSTITUTE(SUBSTITUTE($A314&amp;"","~","~~"),"*","~*"),"?","~?"))</f>
        <v/>
      </c>
    </row>
    <row r="315" customFormat="false" ht="15" hidden="false" customHeight="false" outlineLevel="0" collapsed="false">
      <c r="A315" s="11"/>
      <c r="B315" s="6"/>
      <c r="C315" s="11"/>
      <c r="D315" s="11"/>
      <c r="E315" s="8" t="str">
        <f aca="false">IF($A315="","",SUMIFS($C:$C,$A:$A,$H315,$B:$B,"&gt;="&amp;INT($B315),$B:$B,"&lt;"&amp;(INT($B315)+1)))</f>
        <v/>
      </c>
      <c r="F315" s="19" t="str">
        <f aca="false">IF($A315="","",IF(ISNA(MATCH($H315,Buffers!$AE:$AE,0)),"Not on Buffers",IF(NOT(ISNUMBER($B315)),"Needs a date",IF(INT($B315)&lt;PlanDate,"Past due",IF(INT($B315)=PlanDate,"Due today",IF(AND(INDEX(Buffers!$L:$L,MATCH($H315,Buffers!$AE:$AE,0))="Planned",$E315&gt;0,INT($B315)&lt;=PlanDate+ROUNDUP(IF(ISNUMBER(SpikeHorizon),SpikeHorizon,INDEX(Buffers!$D:$D,MATCH($H315,Buffers!$AE:$AE,0))),0),$E315&gt;=SpikePct*INDEX(Buffers!$P:$P,MATCH($H315,Buffers!$AE:$AE,0))),"Spike","Not qualified"))))))</f>
        <v/>
      </c>
      <c r="G315" s="8" t="str">
        <f aca="false">IF($A315="","",IF(OR($F315="Past due",$F315="Due today",$F315="Spike"),$C315,0))</f>
        <v/>
      </c>
      <c r="H315" s="8" t="str">
        <f aca="false">IF($A315="","",SUBSTITUTE(SUBSTITUTE(SUBSTITUTE($A315&amp;"","~","~~"),"*","~*"),"?","~?"))</f>
        <v/>
      </c>
    </row>
    <row r="316" customFormat="false" ht="15" hidden="false" customHeight="false" outlineLevel="0" collapsed="false">
      <c r="A316" s="11"/>
      <c r="B316" s="6"/>
      <c r="C316" s="11"/>
      <c r="D316" s="11"/>
      <c r="E316" s="8" t="str">
        <f aca="false">IF($A316="","",SUMIFS($C:$C,$A:$A,$H316,$B:$B,"&gt;="&amp;INT($B316),$B:$B,"&lt;"&amp;(INT($B316)+1)))</f>
        <v/>
      </c>
      <c r="F316" s="19" t="str">
        <f aca="false">IF($A316="","",IF(ISNA(MATCH($H316,Buffers!$AE:$AE,0)),"Not on Buffers",IF(NOT(ISNUMBER($B316)),"Needs a date",IF(INT($B316)&lt;PlanDate,"Past due",IF(INT($B316)=PlanDate,"Due today",IF(AND(INDEX(Buffers!$L:$L,MATCH($H316,Buffers!$AE:$AE,0))="Planned",$E316&gt;0,INT($B316)&lt;=PlanDate+ROUNDUP(IF(ISNUMBER(SpikeHorizon),SpikeHorizon,INDEX(Buffers!$D:$D,MATCH($H316,Buffers!$AE:$AE,0))),0),$E316&gt;=SpikePct*INDEX(Buffers!$P:$P,MATCH($H316,Buffers!$AE:$AE,0))),"Spike","Not qualified"))))))</f>
        <v/>
      </c>
      <c r="G316" s="8" t="str">
        <f aca="false">IF($A316="","",IF(OR($F316="Past due",$F316="Due today",$F316="Spike"),$C316,0))</f>
        <v/>
      </c>
      <c r="H316" s="8" t="str">
        <f aca="false">IF($A316="","",SUBSTITUTE(SUBSTITUTE(SUBSTITUTE($A316&amp;"","~","~~"),"*","~*"),"?","~?"))</f>
        <v/>
      </c>
    </row>
    <row r="317" customFormat="false" ht="15" hidden="false" customHeight="false" outlineLevel="0" collapsed="false">
      <c r="A317" s="11"/>
      <c r="B317" s="6"/>
      <c r="C317" s="11"/>
      <c r="D317" s="11"/>
      <c r="E317" s="8" t="str">
        <f aca="false">IF($A317="","",SUMIFS($C:$C,$A:$A,$H317,$B:$B,"&gt;="&amp;INT($B317),$B:$B,"&lt;"&amp;(INT($B317)+1)))</f>
        <v/>
      </c>
      <c r="F317" s="19" t="str">
        <f aca="false">IF($A317="","",IF(ISNA(MATCH($H317,Buffers!$AE:$AE,0)),"Not on Buffers",IF(NOT(ISNUMBER($B317)),"Needs a date",IF(INT($B317)&lt;PlanDate,"Past due",IF(INT($B317)=PlanDate,"Due today",IF(AND(INDEX(Buffers!$L:$L,MATCH($H317,Buffers!$AE:$AE,0))="Planned",$E317&gt;0,INT($B317)&lt;=PlanDate+ROUNDUP(IF(ISNUMBER(SpikeHorizon),SpikeHorizon,INDEX(Buffers!$D:$D,MATCH($H317,Buffers!$AE:$AE,0))),0),$E317&gt;=SpikePct*INDEX(Buffers!$P:$P,MATCH($H317,Buffers!$AE:$AE,0))),"Spike","Not qualified"))))))</f>
        <v/>
      </c>
      <c r="G317" s="8" t="str">
        <f aca="false">IF($A317="","",IF(OR($F317="Past due",$F317="Due today",$F317="Spike"),$C317,0))</f>
        <v/>
      </c>
      <c r="H317" s="8" t="str">
        <f aca="false">IF($A317="","",SUBSTITUTE(SUBSTITUTE(SUBSTITUTE($A317&amp;"","~","~~"),"*","~*"),"?","~?"))</f>
        <v/>
      </c>
    </row>
    <row r="318" customFormat="false" ht="15" hidden="false" customHeight="false" outlineLevel="0" collapsed="false">
      <c r="A318" s="11"/>
      <c r="B318" s="6"/>
      <c r="C318" s="11"/>
      <c r="D318" s="11"/>
      <c r="E318" s="8" t="str">
        <f aca="false">IF($A318="","",SUMIFS($C:$C,$A:$A,$H318,$B:$B,"&gt;="&amp;INT($B318),$B:$B,"&lt;"&amp;(INT($B318)+1)))</f>
        <v/>
      </c>
      <c r="F318" s="19" t="str">
        <f aca="false">IF($A318="","",IF(ISNA(MATCH($H318,Buffers!$AE:$AE,0)),"Not on Buffers",IF(NOT(ISNUMBER($B318)),"Needs a date",IF(INT($B318)&lt;PlanDate,"Past due",IF(INT($B318)=PlanDate,"Due today",IF(AND(INDEX(Buffers!$L:$L,MATCH($H318,Buffers!$AE:$AE,0))="Planned",$E318&gt;0,INT($B318)&lt;=PlanDate+ROUNDUP(IF(ISNUMBER(SpikeHorizon),SpikeHorizon,INDEX(Buffers!$D:$D,MATCH($H318,Buffers!$AE:$AE,0))),0),$E318&gt;=SpikePct*INDEX(Buffers!$P:$P,MATCH($H318,Buffers!$AE:$AE,0))),"Spike","Not qualified"))))))</f>
        <v/>
      </c>
      <c r="G318" s="8" t="str">
        <f aca="false">IF($A318="","",IF(OR($F318="Past due",$F318="Due today",$F318="Spike"),$C318,0))</f>
        <v/>
      </c>
      <c r="H318" s="8" t="str">
        <f aca="false">IF($A318="","",SUBSTITUTE(SUBSTITUTE(SUBSTITUTE($A318&amp;"","~","~~"),"*","~*"),"?","~?"))</f>
        <v/>
      </c>
    </row>
    <row r="319" customFormat="false" ht="15" hidden="false" customHeight="false" outlineLevel="0" collapsed="false">
      <c r="A319" s="11"/>
      <c r="B319" s="6"/>
      <c r="C319" s="11"/>
      <c r="D319" s="11"/>
      <c r="E319" s="8" t="str">
        <f aca="false">IF($A319="","",SUMIFS($C:$C,$A:$A,$H319,$B:$B,"&gt;="&amp;INT($B319),$B:$B,"&lt;"&amp;(INT($B319)+1)))</f>
        <v/>
      </c>
      <c r="F319" s="19" t="str">
        <f aca="false">IF($A319="","",IF(ISNA(MATCH($H319,Buffers!$AE:$AE,0)),"Not on Buffers",IF(NOT(ISNUMBER($B319)),"Needs a date",IF(INT($B319)&lt;PlanDate,"Past due",IF(INT($B319)=PlanDate,"Due today",IF(AND(INDEX(Buffers!$L:$L,MATCH($H319,Buffers!$AE:$AE,0))="Planned",$E319&gt;0,INT($B319)&lt;=PlanDate+ROUNDUP(IF(ISNUMBER(SpikeHorizon),SpikeHorizon,INDEX(Buffers!$D:$D,MATCH($H319,Buffers!$AE:$AE,0))),0),$E319&gt;=SpikePct*INDEX(Buffers!$P:$P,MATCH($H319,Buffers!$AE:$AE,0))),"Spike","Not qualified"))))))</f>
        <v/>
      </c>
      <c r="G319" s="8" t="str">
        <f aca="false">IF($A319="","",IF(OR($F319="Past due",$F319="Due today",$F319="Spike"),$C319,0))</f>
        <v/>
      </c>
      <c r="H319" s="8" t="str">
        <f aca="false">IF($A319="","",SUBSTITUTE(SUBSTITUTE(SUBSTITUTE($A319&amp;"","~","~~"),"*","~*"),"?","~?"))</f>
        <v/>
      </c>
    </row>
    <row r="320" customFormat="false" ht="15" hidden="false" customHeight="false" outlineLevel="0" collapsed="false">
      <c r="A320" s="11"/>
      <c r="B320" s="6"/>
      <c r="C320" s="11"/>
      <c r="D320" s="11"/>
      <c r="E320" s="8" t="str">
        <f aca="false">IF($A320="","",SUMIFS($C:$C,$A:$A,$H320,$B:$B,"&gt;="&amp;INT($B320),$B:$B,"&lt;"&amp;(INT($B320)+1)))</f>
        <v/>
      </c>
      <c r="F320" s="19" t="str">
        <f aca="false">IF($A320="","",IF(ISNA(MATCH($H320,Buffers!$AE:$AE,0)),"Not on Buffers",IF(NOT(ISNUMBER($B320)),"Needs a date",IF(INT($B320)&lt;PlanDate,"Past due",IF(INT($B320)=PlanDate,"Due today",IF(AND(INDEX(Buffers!$L:$L,MATCH($H320,Buffers!$AE:$AE,0))="Planned",$E320&gt;0,INT($B320)&lt;=PlanDate+ROUNDUP(IF(ISNUMBER(SpikeHorizon),SpikeHorizon,INDEX(Buffers!$D:$D,MATCH($H320,Buffers!$AE:$AE,0))),0),$E320&gt;=SpikePct*INDEX(Buffers!$P:$P,MATCH($H320,Buffers!$AE:$AE,0))),"Spike","Not qualified"))))))</f>
        <v/>
      </c>
      <c r="G320" s="8" t="str">
        <f aca="false">IF($A320="","",IF(OR($F320="Past due",$F320="Due today",$F320="Spike"),$C320,0))</f>
        <v/>
      </c>
      <c r="H320" s="8" t="str">
        <f aca="false">IF($A320="","",SUBSTITUTE(SUBSTITUTE(SUBSTITUTE($A320&amp;"","~","~~"),"*","~*"),"?","~?"))</f>
        <v/>
      </c>
    </row>
    <row r="321" customFormat="false" ht="15" hidden="false" customHeight="false" outlineLevel="0" collapsed="false">
      <c r="A321" s="11"/>
      <c r="B321" s="6"/>
      <c r="C321" s="11"/>
      <c r="D321" s="11"/>
      <c r="E321" s="8" t="str">
        <f aca="false">IF($A321="","",SUMIFS($C:$C,$A:$A,$H321,$B:$B,"&gt;="&amp;INT($B321),$B:$B,"&lt;"&amp;(INT($B321)+1)))</f>
        <v/>
      </c>
      <c r="F321" s="19" t="str">
        <f aca="false">IF($A321="","",IF(ISNA(MATCH($H321,Buffers!$AE:$AE,0)),"Not on Buffers",IF(NOT(ISNUMBER($B321)),"Needs a date",IF(INT($B321)&lt;PlanDate,"Past due",IF(INT($B321)=PlanDate,"Due today",IF(AND(INDEX(Buffers!$L:$L,MATCH($H321,Buffers!$AE:$AE,0))="Planned",$E321&gt;0,INT($B321)&lt;=PlanDate+ROUNDUP(IF(ISNUMBER(SpikeHorizon),SpikeHorizon,INDEX(Buffers!$D:$D,MATCH($H321,Buffers!$AE:$AE,0))),0),$E321&gt;=SpikePct*INDEX(Buffers!$P:$P,MATCH($H321,Buffers!$AE:$AE,0))),"Spike","Not qualified"))))))</f>
        <v/>
      </c>
      <c r="G321" s="8" t="str">
        <f aca="false">IF($A321="","",IF(OR($F321="Past due",$F321="Due today",$F321="Spike"),$C321,0))</f>
        <v/>
      </c>
      <c r="H321" s="8" t="str">
        <f aca="false">IF($A321="","",SUBSTITUTE(SUBSTITUTE(SUBSTITUTE($A321&amp;"","~","~~"),"*","~*"),"?","~?"))</f>
        <v/>
      </c>
    </row>
    <row r="322" customFormat="false" ht="15" hidden="false" customHeight="false" outlineLevel="0" collapsed="false">
      <c r="A322" s="11"/>
      <c r="B322" s="6"/>
      <c r="C322" s="11"/>
      <c r="D322" s="11"/>
      <c r="E322" s="8" t="str">
        <f aca="false">IF($A322="","",SUMIFS($C:$C,$A:$A,$H322,$B:$B,"&gt;="&amp;INT($B322),$B:$B,"&lt;"&amp;(INT($B322)+1)))</f>
        <v/>
      </c>
      <c r="F322" s="19" t="str">
        <f aca="false">IF($A322="","",IF(ISNA(MATCH($H322,Buffers!$AE:$AE,0)),"Not on Buffers",IF(NOT(ISNUMBER($B322)),"Needs a date",IF(INT($B322)&lt;PlanDate,"Past due",IF(INT($B322)=PlanDate,"Due today",IF(AND(INDEX(Buffers!$L:$L,MATCH($H322,Buffers!$AE:$AE,0))="Planned",$E322&gt;0,INT($B322)&lt;=PlanDate+ROUNDUP(IF(ISNUMBER(SpikeHorizon),SpikeHorizon,INDEX(Buffers!$D:$D,MATCH($H322,Buffers!$AE:$AE,0))),0),$E322&gt;=SpikePct*INDEX(Buffers!$P:$P,MATCH($H322,Buffers!$AE:$AE,0))),"Spike","Not qualified"))))))</f>
        <v/>
      </c>
      <c r="G322" s="8" t="str">
        <f aca="false">IF($A322="","",IF(OR($F322="Past due",$F322="Due today",$F322="Spike"),$C322,0))</f>
        <v/>
      </c>
      <c r="H322" s="8" t="str">
        <f aca="false">IF($A322="","",SUBSTITUTE(SUBSTITUTE(SUBSTITUTE($A322&amp;"","~","~~"),"*","~*"),"?","~?"))</f>
        <v/>
      </c>
    </row>
    <row r="323" customFormat="false" ht="15" hidden="false" customHeight="false" outlineLevel="0" collapsed="false">
      <c r="A323" s="11"/>
      <c r="B323" s="6"/>
      <c r="C323" s="11"/>
      <c r="D323" s="11"/>
      <c r="E323" s="8" t="str">
        <f aca="false">IF($A323="","",SUMIFS($C:$C,$A:$A,$H323,$B:$B,"&gt;="&amp;INT($B323),$B:$B,"&lt;"&amp;(INT($B323)+1)))</f>
        <v/>
      </c>
      <c r="F323" s="19" t="str">
        <f aca="false">IF($A323="","",IF(ISNA(MATCH($H323,Buffers!$AE:$AE,0)),"Not on Buffers",IF(NOT(ISNUMBER($B323)),"Needs a date",IF(INT($B323)&lt;PlanDate,"Past due",IF(INT($B323)=PlanDate,"Due today",IF(AND(INDEX(Buffers!$L:$L,MATCH($H323,Buffers!$AE:$AE,0))="Planned",$E323&gt;0,INT($B323)&lt;=PlanDate+ROUNDUP(IF(ISNUMBER(SpikeHorizon),SpikeHorizon,INDEX(Buffers!$D:$D,MATCH($H323,Buffers!$AE:$AE,0))),0),$E323&gt;=SpikePct*INDEX(Buffers!$P:$P,MATCH($H323,Buffers!$AE:$AE,0))),"Spike","Not qualified"))))))</f>
        <v/>
      </c>
      <c r="G323" s="8" t="str">
        <f aca="false">IF($A323="","",IF(OR($F323="Past due",$F323="Due today",$F323="Spike"),$C323,0))</f>
        <v/>
      </c>
      <c r="H323" s="8" t="str">
        <f aca="false">IF($A323="","",SUBSTITUTE(SUBSTITUTE(SUBSTITUTE($A323&amp;"","~","~~"),"*","~*"),"?","~?"))</f>
        <v/>
      </c>
    </row>
    <row r="324" customFormat="false" ht="15" hidden="false" customHeight="false" outlineLevel="0" collapsed="false">
      <c r="A324" s="11"/>
      <c r="B324" s="6"/>
      <c r="C324" s="11"/>
      <c r="D324" s="11"/>
      <c r="E324" s="8" t="str">
        <f aca="false">IF($A324="","",SUMIFS($C:$C,$A:$A,$H324,$B:$B,"&gt;="&amp;INT($B324),$B:$B,"&lt;"&amp;(INT($B324)+1)))</f>
        <v/>
      </c>
      <c r="F324" s="19" t="str">
        <f aca="false">IF($A324="","",IF(ISNA(MATCH($H324,Buffers!$AE:$AE,0)),"Not on Buffers",IF(NOT(ISNUMBER($B324)),"Needs a date",IF(INT($B324)&lt;PlanDate,"Past due",IF(INT($B324)=PlanDate,"Due today",IF(AND(INDEX(Buffers!$L:$L,MATCH($H324,Buffers!$AE:$AE,0))="Planned",$E324&gt;0,INT($B324)&lt;=PlanDate+ROUNDUP(IF(ISNUMBER(SpikeHorizon),SpikeHorizon,INDEX(Buffers!$D:$D,MATCH($H324,Buffers!$AE:$AE,0))),0),$E324&gt;=SpikePct*INDEX(Buffers!$P:$P,MATCH($H324,Buffers!$AE:$AE,0))),"Spike","Not qualified"))))))</f>
        <v/>
      </c>
      <c r="G324" s="8" t="str">
        <f aca="false">IF($A324="","",IF(OR($F324="Past due",$F324="Due today",$F324="Spike"),$C324,0))</f>
        <v/>
      </c>
      <c r="H324" s="8" t="str">
        <f aca="false">IF($A324="","",SUBSTITUTE(SUBSTITUTE(SUBSTITUTE($A324&amp;"","~","~~"),"*","~*"),"?","~?"))</f>
        <v/>
      </c>
    </row>
    <row r="325" customFormat="false" ht="15" hidden="false" customHeight="false" outlineLevel="0" collapsed="false">
      <c r="A325" s="11"/>
      <c r="B325" s="6"/>
      <c r="C325" s="11"/>
      <c r="D325" s="11"/>
      <c r="E325" s="8" t="str">
        <f aca="false">IF($A325="","",SUMIFS($C:$C,$A:$A,$H325,$B:$B,"&gt;="&amp;INT($B325),$B:$B,"&lt;"&amp;(INT($B325)+1)))</f>
        <v/>
      </c>
      <c r="F325" s="19" t="str">
        <f aca="false">IF($A325="","",IF(ISNA(MATCH($H325,Buffers!$AE:$AE,0)),"Not on Buffers",IF(NOT(ISNUMBER($B325)),"Needs a date",IF(INT($B325)&lt;PlanDate,"Past due",IF(INT($B325)=PlanDate,"Due today",IF(AND(INDEX(Buffers!$L:$L,MATCH($H325,Buffers!$AE:$AE,0))="Planned",$E325&gt;0,INT($B325)&lt;=PlanDate+ROUNDUP(IF(ISNUMBER(SpikeHorizon),SpikeHorizon,INDEX(Buffers!$D:$D,MATCH($H325,Buffers!$AE:$AE,0))),0),$E325&gt;=SpikePct*INDEX(Buffers!$P:$P,MATCH($H325,Buffers!$AE:$AE,0))),"Spike","Not qualified"))))))</f>
        <v/>
      </c>
      <c r="G325" s="8" t="str">
        <f aca="false">IF($A325="","",IF(OR($F325="Past due",$F325="Due today",$F325="Spike"),$C325,0))</f>
        <v/>
      </c>
      <c r="H325" s="8" t="str">
        <f aca="false">IF($A325="","",SUBSTITUTE(SUBSTITUTE(SUBSTITUTE($A325&amp;"","~","~~"),"*","~*"),"?","~?"))</f>
        <v/>
      </c>
    </row>
    <row r="326" customFormat="false" ht="15" hidden="false" customHeight="false" outlineLevel="0" collapsed="false">
      <c r="A326" s="11"/>
      <c r="B326" s="6"/>
      <c r="C326" s="11"/>
      <c r="D326" s="11"/>
      <c r="E326" s="8" t="str">
        <f aca="false">IF($A326="","",SUMIFS($C:$C,$A:$A,$H326,$B:$B,"&gt;="&amp;INT($B326),$B:$B,"&lt;"&amp;(INT($B326)+1)))</f>
        <v/>
      </c>
      <c r="F326" s="19" t="str">
        <f aca="false">IF($A326="","",IF(ISNA(MATCH($H326,Buffers!$AE:$AE,0)),"Not on Buffers",IF(NOT(ISNUMBER($B326)),"Needs a date",IF(INT($B326)&lt;PlanDate,"Past due",IF(INT($B326)=PlanDate,"Due today",IF(AND(INDEX(Buffers!$L:$L,MATCH($H326,Buffers!$AE:$AE,0))="Planned",$E326&gt;0,INT($B326)&lt;=PlanDate+ROUNDUP(IF(ISNUMBER(SpikeHorizon),SpikeHorizon,INDEX(Buffers!$D:$D,MATCH($H326,Buffers!$AE:$AE,0))),0),$E326&gt;=SpikePct*INDEX(Buffers!$P:$P,MATCH($H326,Buffers!$AE:$AE,0))),"Spike","Not qualified"))))))</f>
        <v/>
      </c>
      <c r="G326" s="8" t="str">
        <f aca="false">IF($A326="","",IF(OR($F326="Past due",$F326="Due today",$F326="Spike"),$C326,0))</f>
        <v/>
      </c>
      <c r="H326" s="8" t="str">
        <f aca="false">IF($A326="","",SUBSTITUTE(SUBSTITUTE(SUBSTITUTE($A326&amp;"","~","~~"),"*","~*"),"?","~?"))</f>
        <v/>
      </c>
    </row>
    <row r="327" customFormat="false" ht="15" hidden="false" customHeight="false" outlineLevel="0" collapsed="false">
      <c r="A327" s="11"/>
      <c r="B327" s="6"/>
      <c r="C327" s="11"/>
      <c r="D327" s="11"/>
      <c r="E327" s="8" t="str">
        <f aca="false">IF($A327="","",SUMIFS($C:$C,$A:$A,$H327,$B:$B,"&gt;="&amp;INT($B327),$B:$B,"&lt;"&amp;(INT($B327)+1)))</f>
        <v/>
      </c>
      <c r="F327" s="19" t="str">
        <f aca="false">IF($A327="","",IF(ISNA(MATCH($H327,Buffers!$AE:$AE,0)),"Not on Buffers",IF(NOT(ISNUMBER($B327)),"Needs a date",IF(INT($B327)&lt;PlanDate,"Past due",IF(INT($B327)=PlanDate,"Due today",IF(AND(INDEX(Buffers!$L:$L,MATCH($H327,Buffers!$AE:$AE,0))="Planned",$E327&gt;0,INT($B327)&lt;=PlanDate+ROUNDUP(IF(ISNUMBER(SpikeHorizon),SpikeHorizon,INDEX(Buffers!$D:$D,MATCH($H327,Buffers!$AE:$AE,0))),0),$E327&gt;=SpikePct*INDEX(Buffers!$P:$P,MATCH($H327,Buffers!$AE:$AE,0))),"Spike","Not qualified"))))))</f>
        <v/>
      </c>
      <c r="G327" s="8" t="str">
        <f aca="false">IF($A327="","",IF(OR($F327="Past due",$F327="Due today",$F327="Spike"),$C327,0))</f>
        <v/>
      </c>
      <c r="H327" s="8" t="str">
        <f aca="false">IF($A327="","",SUBSTITUTE(SUBSTITUTE(SUBSTITUTE($A327&amp;"","~","~~"),"*","~*"),"?","~?"))</f>
        <v/>
      </c>
    </row>
    <row r="328" customFormat="false" ht="15" hidden="false" customHeight="false" outlineLevel="0" collapsed="false">
      <c r="A328" s="11"/>
      <c r="B328" s="6"/>
      <c r="C328" s="11"/>
      <c r="D328" s="11"/>
      <c r="E328" s="8" t="str">
        <f aca="false">IF($A328="","",SUMIFS($C:$C,$A:$A,$H328,$B:$B,"&gt;="&amp;INT($B328),$B:$B,"&lt;"&amp;(INT($B328)+1)))</f>
        <v/>
      </c>
      <c r="F328" s="19" t="str">
        <f aca="false">IF($A328="","",IF(ISNA(MATCH($H328,Buffers!$AE:$AE,0)),"Not on Buffers",IF(NOT(ISNUMBER($B328)),"Needs a date",IF(INT($B328)&lt;PlanDate,"Past due",IF(INT($B328)=PlanDate,"Due today",IF(AND(INDEX(Buffers!$L:$L,MATCH($H328,Buffers!$AE:$AE,0))="Planned",$E328&gt;0,INT($B328)&lt;=PlanDate+ROUNDUP(IF(ISNUMBER(SpikeHorizon),SpikeHorizon,INDEX(Buffers!$D:$D,MATCH($H328,Buffers!$AE:$AE,0))),0),$E328&gt;=SpikePct*INDEX(Buffers!$P:$P,MATCH($H328,Buffers!$AE:$AE,0))),"Spike","Not qualified"))))))</f>
        <v/>
      </c>
      <c r="G328" s="8" t="str">
        <f aca="false">IF($A328="","",IF(OR($F328="Past due",$F328="Due today",$F328="Spike"),$C328,0))</f>
        <v/>
      </c>
      <c r="H328" s="8" t="str">
        <f aca="false">IF($A328="","",SUBSTITUTE(SUBSTITUTE(SUBSTITUTE($A328&amp;"","~","~~"),"*","~*"),"?","~?"))</f>
        <v/>
      </c>
    </row>
    <row r="329" customFormat="false" ht="15" hidden="false" customHeight="false" outlineLevel="0" collapsed="false">
      <c r="A329" s="11"/>
      <c r="B329" s="6"/>
      <c r="C329" s="11"/>
      <c r="D329" s="11"/>
      <c r="E329" s="8" t="str">
        <f aca="false">IF($A329="","",SUMIFS($C:$C,$A:$A,$H329,$B:$B,"&gt;="&amp;INT($B329),$B:$B,"&lt;"&amp;(INT($B329)+1)))</f>
        <v/>
      </c>
      <c r="F329" s="19" t="str">
        <f aca="false">IF($A329="","",IF(ISNA(MATCH($H329,Buffers!$AE:$AE,0)),"Not on Buffers",IF(NOT(ISNUMBER($B329)),"Needs a date",IF(INT($B329)&lt;PlanDate,"Past due",IF(INT($B329)=PlanDate,"Due today",IF(AND(INDEX(Buffers!$L:$L,MATCH($H329,Buffers!$AE:$AE,0))="Planned",$E329&gt;0,INT($B329)&lt;=PlanDate+ROUNDUP(IF(ISNUMBER(SpikeHorizon),SpikeHorizon,INDEX(Buffers!$D:$D,MATCH($H329,Buffers!$AE:$AE,0))),0),$E329&gt;=SpikePct*INDEX(Buffers!$P:$P,MATCH($H329,Buffers!$AE:$AE,0))),"Spike","Not qualified"))))))</f>
        <v/>
      </c>
      <c r="G329" s="8" t="str">
        <f aca="false">IF($A329="","",IF(OR($F329="Past due",$F329="Due today",$F329="Spike"),$C329,0))</f>
        <v/>
      </c>
      <c r="H329" s="8" t="str">
        <f aca="false">IF($A329="","",SUBSTITUTE(SUBSTITUTE(SUBSTITUTE($A329&amp;"","~","~~"),"*","~*"),"?","~?"))</f>
        <v/>
      </c>
    </row>
    <row r="330" customFormat="false" ht="15" hidden="false" customHeight="false" outlineLevel="0" collapsed="false">
      <c r="A330" s="11"/>
      <c r="B330" s="6"/>
      <c r="C330" s="11"/>
      <c r="D330" s="11"/>
      <c r="E330" s="8" t="str">
        <f aca="false">IF($A330="","",SUMIFS($C:$C,$A:$A,$H330,$B:$B,"&gt;="&amp;INT($B330),$B:$B,"&lt;"&amp;(INT($B330)+1)))</f>
        <v/>
      </c>
      <c r="F330" s="19" t="str">
        <f aca="false">IF($A330="","",IF(ISNA(MATCH($H330,Buffers!$AE:$AE,0)),"Not on Buffers",IF(NOT(ISNUMBER($B330)),"Needs a date",IF(INT($B330)&lt;PlanDate,"Past due",IF(INT($B330)=PlanDate,"Due today",IF(AND(INDEX(Buffers!$L:$L,MATCH($H330,Buffers!$AE:$AE,0))="Planned",$E330&gt;0,INT($B330)&lt;=PlanDate+ROUNDUP(IF(ISNUMBER(SpikeHorizon),SpikeHorizon,INDEX(Buffers!$D:$D,MATCH($H330,Buffers!$AE:$AE,0))),0),$E330&gt;=SpikePct*INDEX(Buffers!$P:$P,MATCH($H330,Buffers!$AE:$AE,0))),"Spike","Not qualified"))))))</f>
        <v/>
      </c>
      <c r="G330" s="8" t="str">
        <f aca="false">IF($A330="","",IF(OR($F330="Past due",$F330="Due today",$F330="Spike"),$C330,0))</f>
        <v/>
      </c>
      <c r="H330" s="8" t="str">
        <f aca="false">IF($A330="","",SUBSTITUTE(SUBSTITUTE(SUBSTITUTE($A330&amp;"","~","~~"),"*","~*"),"?","~?"))</f>
        <v/>
      </c>
    </row>
    <row r="331" customFormat="false" ht="15" hidden="false" customHeight="false" outlineLevel="0" collapsed="false">
      <c r="A331" s="11"/>
      <c r="B331" s="6"/>
      <c r="C331" s="11"/>
      <c r="D331" s="11"/>
      <c r="E331" s="8" t="str">
        <f aca="false">IF($A331="","",SUMIFS($C:$C,$A:$A,$H331,$B:$B,"&gt;="&amp;INT($B331),$B:$B,"&lt;"&amp;(INT($B331)+1)))</f>
        <v/>
      </c>
      <c r="F331" s="19" t="str">
        <f aca="false">IF($A331="","",IF(ISNA(MATCH($H331,Buffers!$AE:$AE,0)),"Not on Buffers",IF(NOT(ISNUMBER($B331)),"Needs a date",IF(INT($B331)&lt;PlanDate,"Past due",IF(INT($B331)=PlanDate,"Due today",IF(AND(INDEX(Buffers!$L:$L,MATCH($H331,Buffers!$AE:$AE,0))="Planned",$E331&gt;0,INT($B331)&lt;=PlanDate+ROUNDUP(IF(ISNUMBER(SpikeHorizon),SpikeHorizon,INDEX(Buffers!$D:$D,MATCH($H331,Buffers!$AE:$AE,0))),0),$E331&gt;=SpikePct*INDEX(Buffers!$P:$P,MATCH($H331,Buffers!$AE:$AE,0))),"Spike","Not qualified"))))))</f>
        <v/>
      </c>
      <c r="G331" s="8" t="str">
        <f aca="false">IF($A331="","",IF(OR($F331="Past due",$F331="Due today",$F331="Spike"),$C331,0))</f>
        <v/>
      </c>
      <c r="H331" s="8" t="str">
        <f aca="false">IF($A331="","",SUBSTITUTE(SUBSTITUTE(SUBSTITUTE($A331&amp;"","~","~~"),"*","~*"),"?","~?"))</f>
        <v/>
      </c>
    </row>
    <row r="332" customFormat="false" ht="15" hidden="false" customHeight="false" outlineLevel="0" collapsed="false">
      <c r="A332" s="11"/>
      <c r="B332" s="6"/>
      <c r="C332" s="11"/>
      <c r="D332" s="11"/>
      <c r="E332" s="8" t="str">
        <f aca="false">IF($A332="","",SUMIFS($C:$C,$A:$A,$H332,$B:$B,"&gt;="&amp;INT($B332),$B:$B,"&lt;"&amp;(INT($B332)+1)))</f>
        <v/>
      </c>
      <c r="F332" s="19" t="str">
        <f aca="false">IF($A332="","",IF(ISNA(MATCH($H332,Buffers!$AE:$AE,0)),"Not on Buffers",IF(NOT(ISNUMBER($B332)),"Needs a date",IF(INT($B332)&lt;PlanDate,"Past due",IF(INT($B332)=PlanDate,"Due today",IF(AND(INDEX(Buffers!$L:$L,MATCH($H332,Buffers!$AE:$AE,0))="Planned",$E332&gt;0,INT($B332)&lt;=PlanDate+ROUNDUP(IF(ISNUMBER(SpikeHorizon),SpikeHorizon,INDEX(Buffers!$D:$D,MATCH($H332,Buffers!$AE:$AE,0))),0),$E332&gt;=SpikePct*INDEX(Buffers!$P:$P,MATCH($H332,Buffers!$AE:$AE,0))),"Spike","Not qualified"))))))</f>
        <v/>
      </c>
      <c r="G332" s="8" t="str">
        <f aca="false">IF($A332="","",IF(OR($F332="Past due",$F332="Due today",$F332="Spike"),$C332,0))</f>
        <v/>
      </c>
      <c r="H332" s="8" t="str">
        <f aca="false">IF($A332="","",SUBSTITUTE(SUBSTITUTE(SUBSTITUTE($A332&amp;"","~","~~"),"*","~*"),"?","~?"))</f>
        <v/>
      </c>
    </row>
    <row r="333" customFormat="false" ht="15" hidden="false" customHeight="false" outlineLevel="0" collapsed="false">
      <c r="A333" s="11"/>
      <c r="B333" s="6"/>
      <c r="C333" s="11"/>
      <c r="D333" s="11"/>
      <c r="E333" s="8" t="str">
        <f aca="false">IF($A333="","",SUMIFS($C:$C,$A:$A,$H333,$B:$B,"&gt;="&amp;INT($B333),$B:$B,"&lt;"&amp;(INT($B333)+1)))</f>
        <v/>
      </c>
      <c r="F333" s="19" t="str">
        <f aca="false">IF($A333="","",IF(ISNA(MATCH($H333,Buffers!$AE:$AE,0)),"Not on Buffers",IF(NOT(ISNUMBER($B333)),"Needs a date",IF(INT($B333)&lt;PlanDate,"Past due",IF(INT($B333)=PlanDate,"Due today",IF(AND(INDEX(Buffers!$L:$L,MATCH($H333,Buffers!$AE:$AE,0))="Planned",$E333&gt;0,INT($B333)&lt;=PlanDate+ROUNDUP(IF(ISNUMBER(SpikeHorizon),SpikeHorizon,INDEX(Buffers!$D:$D,MATCH($H333,Buffers!$AE:$AE,0))),0),$E333&gt;=SpikePct*INDEX(Buffers!$P:$P,MATCH($H333,Buffers!$AE:$AE,0))),"Spike","Not qualified"))))))</f>
        <v/>
      </c>
      <c r="G333" s="8" t="str">
        <f aca="false">IF($A333="","",IF(OR($F333="Past due",$F333="Due today",$F333="Spike"),$C333,0))</f>
        <v/>
      </c>
      <c r="H333" s="8" t="str">
        <f aca="false">IF($A333="","",SUBSTITUTE(SUBSTITUTE(SUBSTITUTE($A333&amp;"","~","~~"),"*","~*"),"?","~?"))</f>
        <v/>
      </c>
    </row>
    <row r="334" customFormat="false" ht="15" hidden="false" customHeight="false" outlineLevel="0" collapsed="false">
      <c r="A334" s="11"/>
      <c r="B334" s="6"/>
      <c r="C334" s="11"/>
      <c r="D334" s="11"/>
      <c r="E334" s="8" t="str">
        <f aca="false">IF($A334="","",SUMIFS($C:$C,$A:$A,$H334,$B:$B,"&gt;="&amp;INT($B334),$B:$B,"&lt;"&amp;(INT($B334)+1)))</f>
        <v/>
      </c>
      <c r="F334" s="19" t="str">
        <f aca="false">IF($A334="","",IF(ISNA(MATCH($H334,Buffers!$AE:$AE,0)),"Not on Buffers",IF(NOT(ISNUMBER($B334)),"Needs a date",IF(INT($B334)&lt;PlanDate,"Past due",IF(INT($B334)=PlanDate,"Due today",IF(AND(INDEX(Buffers!$L:$L,MATCH($H334,Buffers!$AE:$AE,0))="Planned",$E334&gt;0,INT($B334)&lt;=PlanDate+ROUNDUP(IF(ISNUMBER(SpikeHorizon),SpikeHorizon,INDEX(Buffers!$D:$D,MATCH($H334,Buffers!$AE:$AE,0))),0),$E334&gt;=SpikePct*INDEX(Buffers!$P:$P,MATCH($H334,Buffers!$AE:$AE,0))),"Spike","Not qualified"))))))</f>
        <v/>
      </c>
      <c r="G334" s="8" t="str">
        <f aca="false">IF($A334="","",IF(OR($F334="Past due",$F334="Due today",$F334="Spike"),$C334,0))</f>
        <v/>
      </c>
      <c r="H334" s="8" t="str">
        <f aca="false">IF($A334="","",SUBSTITUTE(SUBSTITUTE(SUBSTITUTE($A334&amp;"","~","~~"),"*","~*"),"?","~?"))</f>
        <v/>
      </c>
    </row>
    <row r="335" customFormat="false" ht="15" hidden="false" customHeight="false" outlineLevel="0" collapsed="false">
      <c r="A335" s="11"/>
      <c r="B335" s="6"/>
      <c r="C335" s="11"/>
      <c r="D335" s="11"/>
      <c r="E335" s="8" t="str">
        <f aca="false">IF($A335="","",SUMIFS($C:$C,$A:$A,$H335,$B:$B,"&gt;="&amp;INT($B335),$B:$B,"&lt;"&amp;(INT($B335)+1)))</f>
        <v/>
      </c>
      <c r="F335" s="19" t="str">
        <f aca="false">IF($A335="","",IF(ISNA(MATCH($H335,Buffers!$AE:$AE,0)),"Not on Buffers",IF(NOT(ISNUMBER($B335)),"Needs a date",IF(INT($B335)&lt;PlanDate,"Past due",IF(INT($B335)=PlanDate,"Due today",IF(AND(INDEX(Buffers!$L:$L,MATCH($H335,Buffers!$AE:$AE,0))="Planned",$E335&gt;0,INT($B335)&lt;=PlanDate+ROUNDUP(IF(ISNUMBER(SpikeHorizon),SpikeHorizon,INDEX(Buffers!$D:$D,MATCH($H335,Buffers!$AE:$AE,0))),0),$E335&gt;=SpikePct*INDEX(Buffers!$P:$P,MATCH($H335,Buffers!$AE:$AE,0))),"Spike","Not qualified"))))))</f>
        <v/>
      </c>
      <c r="G335" s="8" t="str">
        <f aca="false">IF($A335="","",IF(OR($F335="Past due",$F335="Due today",$F335="Spike"),$C335,0))</f>
        <v/>
      </c>
      <c r="H335" s="8" t="str">
        <f aca="false">IF($A335="","",SUBSTITUTE(SUBSTITUTE(SUBSTITUTE($A335&amp;"","~","~~"),"*","~*"),"?","~?"))</f>
        <v/>
      </c>
    </row>
    <row r="336" customFormat="false" ht="15" hidden="false" customHeight="false" outlineLevel="0" collapsed="false">
      <c r="A336" s="11"/>
      <c r="B336" s="6"/>
      <c r="C336" s="11"/>
      <c r="D336" s="11"/>
      <c r="E336" s="8" t="str">
        <f aca="false">IF($A336="","",SUMIFS($C:$C,$A:$A,$H336,$B:$B,"&gt;="&amp;INT($B336),$B:$B,"&lt;"&amp;(INT($B336)+1)))</f>
        <v/>
      </c>
      <c r="F336" s="19" t="str">
        <f aca="false">IF($A336="","",IF(ISNA(MATCH($H336,Buffers!$AE:$AE,0)),"Not on Buffers",IF(NOT(ISNUMBER($B336)),"Needs a date",IF(INT($B336)&lt;PlanDate,"Past due",IF(INT($B336)=PlanDate,"Due today",IF(AND(INDEX(Buffers!$L:$L,MATCH($H336,Buffers!$AE:$AE,0))="Planned",$E336&gt;0,INT($B336)&lt;=PlanDate+ROUNDUP(IF(ISNUMBER(SpikeHorizon),SpikeHorizon,INDEX(Buffers!$D:$D,MATCH($H336,Buffers!$AE:$AE,0))),0),$E336&gt;=SpikePct*INDEX(Buffers!$P:$P,MATCH($H336,Buffers!$AE:$AE,0))),"Spike","Not qualified"))))))</f>
        <v/>
      </c>
      <c r="G336" s="8" t="str">
        <f aca="false">IF($A336="","",IF(OR($F336="Past due",$F336="Due today",$F336="Spike"),$C336,0))</f>
        <v/>
      </c>
      <c r="H336" s="8" t="str">
        <f aca="false">IF($A336="","",SUBSTITUTE(SUBSTITUTE(SUBSTITUTE($A336&amp;"","~","~~"),"*","~*"),"?","~?"))</f>
        <v/>
      </c>
    </row>
    <row r="337" customFormat="false" ht="15" hidden="false" customHeight="false" outlineLevel="0" collapsed="false">
      <c r="A337" s="11"/>
      <c r="B337" s="6"/>
      <c r="C337" s="11"/>
      <c r="D337" s="11"/>
      <c r="E337" s="8" t="str">
        <f aca="false">IF($A337="","",SUMIFS($C:$C,$A:$A,$H337,$B:$B,"&gt;="&amp;INT($B337),$B:$B,"&lt;"&amp;(INT($B337)+1)))</f>
        <v/>
      </c>
      <c r="F337" s="19" t="str">
        <f aca="false">IF($A337="","",IF(ISNA(MATCH($H337,Buffers!$AE:$AE,0)),"Not on Buffers",IF(NOT(ISNUMBER($B337)),"Needs a date",IF(INT($B337)&lt;PlanDate,"Past due",IF(INT($B337)=PlanDate,"Due today",IF(AND(INDEX(Buffers!$L:$L,MATCH($H337,Buffers!$AE:$AE,0))="Planned",$E337&gt;0,INT($B337)&lt;=PlanDate+ROUNDUP(IF(ISNUMBER(SpikeHorizon),SpikeHorizon,INDEX(Buffers!$D:$D,MATCH($H337,Buffers!$AE:$AE,0))),0),$E337&gt;=SpikePct*INDEX(Buffers!$P:$P,MATCH($H337,Buffers!$AE:$AE,0))),"Spike","Not qualified"))))))</f>
        <v/>
      </c>
      <c r="G337" s="8" t="str">
        <f aca="false">IF($A337="","",IF(OR($F337="Past due",$F337="Due today",$F337="Spike"),$C337,0))</f>
        <v/>
      </c>
      <c r="H337" s="8" t="str">
        <f aca="false">IF($A337="","",SUBSTITUTE(SUBSTITUTE(SUBSTITUTE($A337&amp;"","~","~~"),"*","~*"),"?","~?"))</f>
        <v/>
      </c>
    </row>
    <row r="338" customFormat="false" ht="15" hidden="false" customHeight="false" outlineLevel="0" collapsed="false">
      <c r="A338" s="11"/>
      <c r="B338" s="6"/>
      <c r="C338" s="11"/>
      <c r="D338" s="11"/>
      <c r="E338" s="8" t="str">
        <f aca="false">IF($A338="","",SUMIFS($C:$C,$A:$A,$H338,$B:$B,"&gt;="&amp;INT($B338),$B:$B,"&lt;"&amp;(INT($B338)+1)))</f>
        <v/>
      </c>
      <c r="F338" s="19" t="str">
        <f aca="false">IF($A338="","",IF(ISNA(MATCH($H338,Buffers!$AE:$AE,0)),"Not on Buffers",IF(NOT(ISNUMBER($B338)),"Needs a date",IF(INT($B338)&lt;PlanDate,"Past due",IF(INT($B338)=PlanDate,"Due today",IF(AND(INDEX(Buffers!$L:$L,MATCH($H338,Buffers!$AE:$AE,0))="Planned",$E338&gt;0,INT($B338)&lt;=PlanDate+ROUNDUP(IF(ISNUMBER(SpikeHorizon),SpikeHorizon,INDEX(Buffers!$D:$D,MATCH($H338,Buffers!$AE:$AE,0))),0),$E338&gt;=SpikePct*INDEX(Buffers!$P:$P,MATCH($H338,Buffers!$AE:$AE,0))),"Spike","Not qualified"))))))</f>
        <v/>
      </c>
      <c r="G338" s="8" t="str">
        <f aca="false">IF($A338="","",IF(OR($F338="Past due",$F338="Due today",$F338="Spike"),$C338,0))</f>
        <v/>
      </c>
      <c r="H338" s="8" t="str">
        <f aca="false">IF($A338="","",SUBSTITUTE(SUBSTITUTE(SUBSTITUTE($A338&amp;"","~","~~"),"*","~*"),"?","~?"))</f>
        <v/>
      </c>
    </row>
    <row r="339" customFormat="false" ht="15" hidden="false" customHeight="false" outlineLevel="0" collapsed="false">
      <c r="A339" s="11"/>
      <c r="B339" s="6"/>
      <c r="C339" s="11"/>
      <c r="D339" s="11"/>
      <c r="E339" s="8" t="str">
        <f aca="false">IF($A339="","",SUMIFS($C:$C,$A:$A,$H339,$B:$B,"&gt;="&amp;INT($B339),$B:$B,"&lt;"&amp;(INT($B339)+1)))</f>
        <v/>
      </c>
      <c r="F339" s="19" t="str">
        <f aca="false">IF($A339="","",IF(ISNA(MATCH($H339,Buffers!$AE:$AE,0)),"Not on Buffers",IF(NOT(ISNUMBER($B339)),"Needs a date",IF(INT($B339)&lt;PlanDate,"Past due",IF(INT($B339)=PlanDate,"Due today",IF(AND(INDEX(Buffers!$L:$L,MATCH($H339,Buffers!$AE:$AE,0))="Planned",$E339&gt;0,INT($B339)&lt;=PlanDate+ROUNDUP(IF(ISNUMBER(SpikeHorizon),SpikeHorizon,INDEX(Buffers!$D:$D,MATCH($H339,Buffers!$AE:$AE,0))),0),$E339&gt;=SpikePct*INDEX(Buffers!$P:$P,MATCH($H339,Buffers!$AE:$AE,0))),"Spike","Not qualified"))))))</f>
        <v/>
      </c>
      <c r="G339" s="8" t="str">
        <f aca="false">IF($A339="","",IF(OR($F339="Past due",$F339="Due today",$F339="Spike"),$C339,0))</f>
        <v/>
      </c>
      <c r="H339" s="8" t="str">
        <f aca="false">IF($A339="","",SUBSTITUTE(SUBSTITUTE(SUBSTITUTE($A339&amp;"","~","~~"),"*","~*"),"?","~?"))</f>
        <v/>
      </c>
    </row>
    <row r="340" customFormat="false" ht="15" hidden="false" customHeight="false" outlineLevel="0" collapsed="false">
      <c r="A340" s="11"/>
      <c r="B340" s="6"/>
      <c r="C340" s="11"/>
      <c r="D340" s="11"/>
      <c r="E340" s="8" t="str">
        <f aca="false">IF($A340="","",SUMIFS($C:$C,$A:$A,$H340,$B:$B,"&gt;="&amp;INT($B340),$B:$B,"&lt;"&amp;(INT($B340)+1)))</f>
        <v/>
      </c>
      <c r="F340" s="19" t="str">
        <f aca="false">IF($A340="","",IF(ISNA(MATCH($H340,Buffers!$AE:$AE,0)),"Not on Buffers",IF(NOT(ISNUMBER($B340)),"Needs a date",IF(INT($B340)&lt;PlanDate,"Past due",IF(INT($B340)=PlanDate,"Due today",IF(AND(INDEX(Buffers!$L:$L,MATCH($H340,Buffers!$AE:$AE,0))="Planned",$E340&gt;0,INT($B340)&lt;=PlanDate+ROUNDUP(IF(ISNUMBER(SpikeHorizon),SpikeHorizon,INDEX(Buffers!$D:$D,MATCH($H340,Buffers!$AE:$AE,0))),0),$E340&gt;=SpikePct*INDEX(Buffers!$P:$P,MATCH($H340,Buffers!$AE:$AE,0))),"Spike","Not qualified"))))))</f>
        <v/>
      </c>
      <c r="G340" s="8" t="str">
        <f aca="false">IF($A340="","",IF(OR($F340="Past due",$F340="Due today",$F340="Spike"),$C340,0))</f>
        <v/>
      </c>
      <c r="H340" s="8" t="str">
        <f aca="false">IF($A340="","",SUBSTITUTE(SUBSTITUTE(SUBSTITUTE($A340&amp;"","~","~~"),"*","~*"),"?","~?"))</f>
        <v/>
      </c>
    </row>
    <row r="341" customFormat="false" ht="15" hidden="false" customHeight="false" outlineLevel="0" collapsed="false">
      <c r="A341" s="11"/>
      <c r="B341" s="6"/>
      <c r="C341" s="11"/>
      <c r="D341" s="11"/>
      <c r="E341" s="8" t="str">
        <f aca="false">IF($A341="","",SUMIFS($C:$C,$A:$A,$H341,$B:$B,"&gt;="&amp;INT($B341),$B:$B,"&lt;"&amp;(INT($B341)+1)))</f>
        <v/>
      </c>
      <c r="F341" s="19" t="str">
        <f aca="false">IF($A341="","",IF(ISNA(MATCH($H341,Buffers!$AE:$AE,0)),"Not on Buffers",IF(NOT(ISNUMBER($B341)),"Needs a date",IF(INT($B341)&lt;PlanDate,"Past due",IF(INT($B341)=PlanDate,"Due today",IF(AND(INDEX(Buffers!$L:$L,MATCH($H341,Buffers!$AE:$AE,0))="Planned",$E341&gt;0,INT($B341)&lt;=PlanDate+ROUNDUP(IF(ISNUMBER(SpikeHorizon),SpikeHorizon,INDEX(Buffers!$D:$D,MATCH($H341,Buffers!$AE:$AE,0))),0),$E341&gt;=SpikePct*INDEX(Buffers!$P:$P,MATCH($H341,Buffers!$AE:$AE,0))),"Spike","Not qualified"))))))</f>
        <v/>
      </c>
      <c r="G341" s="8" t="str">
        <f aca="false">IF($A341="","",IF(OR($F341="Past due",$F341="Due today",$F341="Spike"),$C341,0))</f>
        <v/>
      </c>
      <c r="H341" s="8" t="str">
        <f aca="false">IF($A341="","",SUBSTITUTE(SUBSTITUTE(SUBSTITUTE($A341&amp;"","~","~~"),"*","~*"),"?","~?"))</f>
        <v/>
      </c>
    </row>
    <row r="342" customFormat="false" ht="15" hidden="false" customHeight="false" outlineLevel="0" collapsed="false">
      <c r="A342" s="11"/>
      <c r="B342" s="6"/>
      <c r="C342" s="11"/>
      <c r="D342" s="11"/>
      <c r="E342" s="8" t="str">
        <f aca="false">IF($A342="","",SUMIFS($C:$C,$A:$A,$H342,$B:$B,"&gt;="&amp;INT($B342),$B:$B,"&lt;"&amp;(INT($B342)+1)))</f>
        <v/>
      </c>
      <c r="F342" s="19" t="str">
        <f aca="false">IF($A342="","",IF(ISNA(MATCH($H342,Buffers!$AE:$AE,0)),"Not on Buffers",IF(NOT(ISNUMBER($B342)),"Needs a date",IF(INT($B342)&lt;PlanDate,"Past due",IF(INT($B342)=PlanDate,"Due today",IF(AND(INDEX(Buffers!$L:$L,MATCH($H342,Buffers!$AE:$AE,0))="Planned",$E342&gt;0,INT($B342)&lt;=PlanDate+ROUNDUP(IF(ISNUMBER(SpikeHorizon),SpikeHorizon,INDEX(Buffers!$D:$D,MATCH($H342,Buffers!$AE:$AE,0))),0),$E342&gt;=SpikePct*INDEX(Buffers!$P:$P,MATCH($H342,Buffers!$AE:$AE,0))),"Spike","Not qualified"))))))</f>
        <v/>
      </c>
      <c r="G342" s="8" t="str">
        <f aca="false">IF($A342="","",IF(OR($F342="Past due",$F342="Due today",$F342="Spike"),$C342,0))</f>
        <v/>
      </c>
      <c r="H342" s="8" t="str">
        <f aca="false">IF($A342="","",SUBSTITUTE(SUBSTITUTE(SUBSTITUTE($A342&amp;"","~","~~"),"*","~*"),"?","~?"))</f>
        <v/>
      </c>
    </row>
    <row r="343" customFormat="false" ht="15" hidden="false" customHeight="false" outlineLevel="0" collapsed="false">
      <c r="A343" s="11"/>
      <c r="B343" s="6"/>
      <c r="C343" s="11"/>
      <c r="D343" s="11"/>
      <c r="E343" s="8" t="str">
        <f aca="false">IF($A343="","",SUMIFS($C:$C,$A:$A,$H343,$B:$B,"&gt;="&amp;INT($B343),$B:$B,"&lt;"&amp;(INT($B343)+1)))</f>
        <v/>
      </c>
      <c r="F343" s="19" t="str">
        <f aca="false">IF($A343="","",IF(ISNA(MATCH($H343,Buffers!$AE:$AE,0)),"Not on Buffers",IF(NOT(ISNUMBER($B343)),"Needs a date",IF(INT($B343)&lt;PlanDate,"Past due",IF(INT($B343)=PlanDate,"Due today",IF(AND(INDEX(Buffers!$L:$L,MATCH($H343,Buffers!$AE:$AE,0))="Planned",$E343&gt;0,INT($B343)&lt;=PlanDate+ROUNDUP(IF(ISNUMBER(SpikeHorizon),SpikeHorizon,INDEX(Buffers!$D:$D,MATCH($H343,Buffers!$AE:$AE,0))),0),$E343&gt;=SpikePct*INDEX(Buffers!$P:$P,MATCH($H343,Buffers!$AE:$AE,0))),"Spike","Not qualified"))))))</f>
        <v/>
      </c>
      <c r="G343" s="8" t="str">
        <f aca="false">IF($A343="","",IF(OR($F343="Past due",$F343="Due today",$F343="Spike"),$C343,0))</f>
        <v/>
      </c>
      <c r="H343" s="8" t="str">
        <f aca="false">IF($A343="","",SUBSTITUTE(SUBSTITUTE(SUBSTITUTE($A343&amp;"","~","~~"),"*","~*"),"?","~?"))</f>
        <v/>
      </c>
    </row>
    <row r="344" customFormat="false" ht="15" hidden="false" customHeight="false" outlineLevel="0" collapsed="false">
      <c r="A344" s="11"/>
      <c r="B344" s="6"/>
      <c r="C344" s="11"/>
      <c r="D344" s="11"/>
      <c r="E344" s="8" t="str">
        <f aca="false">IF($A344="","",SUMIFS($C:$C,$A:$A,$H344,$B:$B,"&gt;="&amp;INT($B344),$B:$B,"&lt;"&amp;(INT($B344)+1)))</f>
        <v/>
      </c>
      <c r="F344" s="19" t="str">
        <f aca="false">IF($A344="","",IF(ISNA(MATCH($H344,Buffers!$AE:$AE,0)),"Not on Buffers",IF(NOT(ISNUMBER($B344)),"Needs a date",IF(INT($B344)&lt;PlanDate,"Past due",IF(INT($B344)=PlanDate,"Due today",IF(AND(INDEX(Buffers!$L:$L,MATCH($H344,Buffers!$AE:$AE,0))="Planned",$E344&gt;0,INT($B344)&lt;=PlanDate+ROUNDUP(IF(ISNUMBER(SpikeHorizon),SpikeHorizon,INDEX(Buffers!$D:$D,MATCH($H344,Buffers!$AE:$AE,0))),0),$E344&gt;=SpikePct*INDEX(Buffers!$P:$P,MATCH($H344,Buffers!$AE:$AE,0))),"Spike","Not qualified"))))))</f>
        <v/>
      </c>
      <c r="G344" s="8" t="str">
        <f aca="false">IF($A344="","",IF(OR($F344="Past due",$F344="Due today",$F344="Spike"),$C344,0))</f>
        <v/>
      </c>
      <c r="H344" s="8" t="str">
        <f aca="false">IF($A344="","",SUBSTITUTE(SUBSTITUTE(SUBSTITUTE($A344&amp;"","~","~~"),"*","~*"),"?","~?"))</f>
        <v/>
      </c>
    </row>
    <row r="345" customFormat="false" ht="15" hidden="false" customHeight="false" outlineLevel="0" collapsed="false">
      <c r="A345" s="11"/>
      <c r="B345" s="6"/>
      <c r="C345" s="11"/>
      <c r="D345" s="11"/>
      <c r="E345" s="8" t="str">
        <f aca="false">IF($A345="","",SUMIFS($C:$C,$A:$A,$H345,$B:$B,"&gt;="&amp;INT($B345),$B:$B,"&lt;"&amp;(INT($B345)+1)))</f>
        <v/>
      </c>
      <c r="F345" s="19" t="str">
        <f aca="false">IF($A345="","",IF(ISNA(MATCH($H345,Buffers!$AE:$AE,0)),"Not on Buffers",IF(NOT(ISNUMBER($B345)),"Needs a date",IF(INT($B345)&lt;PlanDate,"Past due",IF(INT($B345)=PlanDate,"Due today",IF(AND(INDEX(Buffers!$L:$L,MATCH($H345,Buffers!$AE:$AE,0))="Planned",$E345&gt;0,INT($B345)&lt;=PlanDate+ROUNDUP(IF(ISNUMBER(SpikeHorizon),SpikeHorizon,INDEX(Buffers!$D:$D,MATCH($H345,Buffers!$AE:$AE,0))),0),$E345&gt;=SpikePct*INDEX(Buffers!$P:$P,MATCH($H345,Buffers!$AE:$AE,0))),"Spike","Not qualified"))))))</f>
        <v/>
      </c>
      <c r="G345" s="8" t="str">
        <f aca="false">IF($A345="","",IF(OR($F345="Past due",$F345="Due today",$F345="Spike"),$C345,0))</f>
        <v/>
      </c>
      <c r="H345" s="8" t="str">
        <f aca="false">IF($A345="","",SUBSTITUTE(SUBSTITUTE(SUBSTITUTE($A345&amp;"","~","~~"),"*","~*"),"?","~?"))</f>
        <v/>
      </c>
    </row>
    <row r="346" customFormat="false" ht="15" hidden="false" customHeight="false" outlineLevel="0" collapsed="false">
      <c r="A346" s="11"/>
      <c r="B346" s="6"/>
      <c r="C346" s="11"/>
      <c r="D346" s="11"/>
      <c r="E346" s="8" t="str">
        <f aca="false">IF($A346="","",SUMIFS($C:$C,$A:$A,$H346,$B:$B,"&gt;="&amp;INT($B346),$B:$B,"&lt;"&amp;(INT($B346)+1)))</f>
        <v/>
      </c>
      <c r="F346" s="19" t="str">
        <f aca="false">IF($A346="","",IF(ISNA(MATCH($H346,Buffers!$AE:$AE,0)),"Not on Buffers",IF(NOT(ISNUMBER($B346)),"Needs a date",IF(INT($B346)&lt;PlanDate,"Past due",IF(INT($B346)=PlanDate,"Due today",IF(AND(INDEX(Buffers!$L:$L,MATCH($H346,Buffers!$AE:$AE,0))="Planned",$E346&gt;0,INT($B346)&lt;=PlanDate+ROUNDUP(IF(ISNUMBER(SpikeHorizon),SpikeHorizon,INDEX(Buffers!$D:$D,MATCH($H346,Buffers!$AE:$AE,0))),0),$E346&gt;=SpikePct*INDEX(Buffers!$P:$P,MATCH($H346,Buffers!$AE:$AE,0))),"Spike","Not qualified"))))))</f>
        <v/>
      </c>
      <c r="G346" s="8" t="str">
        <f aca="false">IF($A346="","",IF(OR($F346="Past due",$F346="Due today",$F346="Spike"),$C346,0))</f>
        <v/>
      </c>
      <c r="H346" s="8" t="str">
        <f aca="false">IF($A346="","",SUBSTITUTE(SUBSTITUTE(SUBSTITUTE($A346&amp;"","~","~~"),"*","~*"),"?","~?"))</f>
        <v/>
      </c>
    </row>
    <row r="347" customFormat="false" ht="15" hidden="false" customHeight="false" outlineLevel="0" collapsed="false">
      <c r="A347" s="11"/>
      <c r="B347" s="6"/>
      <c r="C347" s="11"/>
      <c r="D347" s="11"/>
      <c r="E347" s="8" t="str">
        <f aca="false">IF($A347="","",SUMIFS($C:$C,$A:$A,$H347,$B:$B,"&gt;="&amp;INT($B347),$B:$B,"&lt;"&amp;(INT($B347)+1)))</f>
        <v/>
      </c>
      <c r="F347" s="19" t="str">
        <f aca="false">IF($A347="","",IF(ISNA(MATCH($H347,Buffers!$AE:$AE,0)),"Not on Buffers",IF(NOT(ISNUMBER($B347)),"Needs a date",IF(INT($B347)&lt;PlanDate,"Past due",IF(INT($B347)=PlanDate,"Due today",IF(AND(INDEX(Buffers!$L:$L,MATCH($H347,Buffers!$AE:$AE,0))="Planned",$E347&gt;0,INT($B347)&lt;=PlanDate+ROUNDUP(IF(ISNUMBER(SpikeHorizon),SpikeHorizon,INDEX(Buffers!$D:$D,MATCH($H347,Buffers!$AE:$AE,0))),0),$E347&gt;=SpikePct*INDEX(Buffers!$P:$P,MATCH($H347,Buffers!$AE:$AE,0))),"Spike","Not qualified"))))))</f>
        <v/>
      </c>
      <c r="G347" s="8" t="str">
        <f aca="false">IF($A347="","",IF(OR($F347="Past due",$F347="Due today",$F347="Spike"),$C347,0))</f>
        <v/>
      </c>
      <c r="H347" s="8" t="str">
        <f aca="false">IF($A347="","",SUBSTITUTE(SUBSTITUTE(SUBSTITUTE($A347&amp;"","~","~~"),"*","~*"),"?","~?"))</f>
        <v/>
      </c>
    </row>
    <row r="348" customFormat="false" ht="15" hidden="false" customHeight="false" outlineLevel="0" collapsed="false">
      <c r="A348" s="11"/>
      <c r="B348" s="6"/>
      <c r="C348" s="11"/>
      <c r="D348" s="11"/>
      <c r="E348" s="8" t="str">
        <f aca="false">IF($A348="","",SUMIFS($C:$C,$A:$A,$H348,$B:$B,"&gt;="&amp;INT($B348),$B:$B,"&lt;"&amp;(INT($B348)+1)))</f>
        <v/>
      </c>
      <c r="F348" s="19" t="str">
        <f aca="false">IF($A348="","",IF(ISNA(MATCH($H348,Buffers!$AE:$AE,0)),"Not on Buffers",IF(NOT(ISNUMBER($B348)),"Needs a date",IF(INT($B348)&lt;PlanDate,"Past due",IF(INT($B348)=PlanDate,"Due today",IF(AND(INDEX(Buffers!$L:$L,MATCH($H348,Buffers!$AE:$AE,0))="Planned",$E348&gt;0,INT($B348)&lt;=PlanDate+ROUNDUP(IF(ISNUMBER(SpikeHorizon),SpikeHorizon,INDEX(Buffers!$D:$D,MATCH($H348,Buffers!$AE:$AE,0))),0),$E348&gt;=SpikePct*INDEX(Buffers!$P:$P,MATCH($H348,Buffers!$AE:$AE,0))),"Spike","Not qualified"))))))</f>
        <v/>
      </c>
      <c r="G348" s="8" t="str">
        <f aca="false">IF($A348="","",IF(OR($F348="Past due",$F348="Due today",$F348="Spike"),$C348,0))</f>
        <v/>
      </c>
      <c r="H348" s="8" t="str">
        <f aca="false">IF($A348="","",SUBSTITUTE(SUBSTITUTE(SUBSTITUTE($A348&amp;"","~","~~"),"*","~*"),"?","~?"))</f>
        <v/>
      </c>
    </row>
    <row r="349" customFormat="false" ht="15" hidden="false" customHeight="false" outlineLevel="0" collapsed="false">
      <c r="A349" s="11"/>
      <c r="B349" s="6"/>
      <c r="C349" s="11"/>
      <c r="D349" s="11"/>
      <c r="E349" s="8" t="str">
        <f aca="false">IF($A349="","",SUMIFS($C:$C,$A:$A,$H349,$B:$B,"&gt;="&amp;INT($B349),$B:$B,"&lt;"&amp;(INT($B349)+1)))</f>
        <v/>
      </c>
      <c r="F349" s="19" t="str">
        <f aca="false">IF($A349="","",IF(ISNA(MATCH($H349,Buffers!$AE:$AE,0)),"Not on Buffers",IF(NOT(ISNUMBER($B349)),"Needs a date",IF(INT($B349)&lt;PlanDate,"Past due",IF(INT($B349)=PlanDate,"Due today",IF(AND(INDEX(Buffers!$L:$L,MATCH($H349,Buffers!$AE:$AE,0))="Planned",$E349&gt;0,INT($B349)&lt;=PlanDate+ROUNDUP(IF(ISNUMBER(SpikeHorizon),SpikeHorizon,INDEX(Buffers!$D:$D,MATCH($H349,Buffers!$AE:$AE,0))),0),$E349&gt;=SpikePct*INDEX(Buffers!$P:$P,MATCH($H349,Buffers!$AE:$AE,0))),"Spike","Not qualified"))))))</f>
        <v/>
      </c>
      <c r="G349" s="8" t="str">
        <f aca="false">IF($A349="","",IF(OR($F349="Past due",$F349="Due today",$F349="Spike"),$C349,0))</f>
        <v/>
      </c>
      <c r="H349" s="8" t="str">
        <f aca="false">IF($A349="","",SUBSTITUTE(SUBSTITUTE(SUBSTITUTE($A349&amp;"","~","~~"),"*","~*"),"?","~?"))</f>
        <v/>
      </c>
    </row>
    <row r="350" customFormat="false" ht="15" hidden="false" customHeight="false" outlineLevel="0" collapsed="false">
      <c r="A350" s="11"/>
      <c r="B350" s="6"/>
      <c r="C350" s="11"/>
      <c r="D350" s="11"/>
      <c r="E350" s="8" t="str">
        <f aca="false">IF($A350="","",SUMIFS($C:$C,$A:$A,$H350,$B:$B,"&gt;="&amp;INT($B350),$B:$B,"&lt;"&amp;(INT($B350)+1)))</f>
        <v/>
      </c>
      <c r="F350" s="19" t="str">
        <f aca="false">IF($A350="","",IF(ISNA(MATCH($H350,Buffers!$AE:$AE,0)),"Not on Buffers",IF(NOT(ISNUMBER($B350)),"Needs a date",IF(INT($B350)&lt;PlanDate,"Past due",IF(INT($B350)=PlanDate,"Due today",IF(AND(INDEX(Buffers!$L:$L,MATCH($H350,Buffers!$AE:$AE,0))="Planned",$E350&gt;0,INT($B350)&lt;=PlanDate+ROUNDUP(IF(ISNUMBER(SpikeHorizon),SpikeHorizon,INDEX(Buffers!$D:$D,MATCH($H350,Buffers!$AE:$AE,0))),0),$E350&gt;=SpikePct*INDEX(Buffers!$P:$P,MATCH($H350,Buffers!$AE:$AE,0))),"Spike","Not qualified"))))))</f>
        <v/>
      </c>
      <c r="G350" s="8" t="str">
        <f aca="false">IF($A350="","",IF(OR($F350="Past due",$F350="Due today",$F350="Spike"),$C350,0))</f>
        <v/>
      </c>
      <c r="H350" s="8" t="str">
        <f aca="false">IF($A350="","",SUBSTITUTE(SUBSTITUTE(SUBSTITUTE($A350&amp;"","~","~~"),"*","~*"),"?","~?"))</f>
        <v/>
      </c>
    </row>
    <row r="351" customFormat="false" ht="15" hidden="false" customHeight="false" outlineLevel="0" collapsed="false">
      <c r="A351" s="11"/>
      <c r="B351" s="6"/>
      <c r="C351" s="11"/>
      <c r="D351" s="11"/>
      <c r="E351" s="8" t="str">
        <f aca="false">IF($A351="","",SUMIFS($C:$C,$A:$A,$H351,$B:$B,"&gt;="&amp;INT($B351),$B:$B,"&lt;"&amp;(INT($B351)+1)))</f>
        <v/>
      </c>
      <c r="F351" s="19" t="str">
        <f aca="false">IF($A351="","",IF(ISNA(MATCH($H351,Buffers!$AE:$AE,0)),"Not on Buffers",IF(NOT(ISNUMBER($B351)),"Needs a date",IF(INT($B351)&lt;PlanDate,"Past due",IF(INT($B351)=PlanDate,"Due today",IF(AND(INDEX(Buffers!$L:$L,MATCH($H351,Buffers!$AE:$AE,0))="Planned",$E351&gt;0,INT($B351)&lt;=PlanDate+ROUNDUP(IF(ISNUMBER(SpikeHorizon),SpikeHorizon,INDEX(Buffers!$D:$D,MATCH($H351,Buffers!$AE:$AE,0))),0),$E351&gt;=SpikePct*INDEX(Buffers!$P:$P,MATCH($H351,Buffers!$AE:$AE,0))),"Spike","Not qualified"))))))</f>
        <v/>
      </c>
      <c r="G351" s="8" t="str">
        <f aca="false">IF($A351="","",IF(OR($F351="Past due",$F351="Due today",$F351="Spike"),$C351,0))</f>
        <v/>
      </c>
      <c r="H351" s="8" t="str">
        <f aca="false">IF($A351="","",SUBSTITUTE(SUBSTITUTE(SUBSTITUTE($A351&amp;"","~","~~"),"*","~*"),"?","~?"))</f>
        <v/>
      </c>
    </row>
    <row r="352" customFormat="false" ht="15" hidden="false" customHeight="false" outlineLevel="0" collapsed="false">
      <c r="A352" s="11"/>
      <c r="B352" s="6"/>
      <c r="C352" s="11"/>
      <c r="D352" s="11"/>
      <c r="E352" s="8" t="str">
        <f aca="false">IF($A352="","",SUMIFS($C:$C,$A:$A,$H352,$B:$B,"&gt;="&amp;INT($B352),$B:$B,"&lt;"&amp;(INT($B352)+1)))</f>
        <v/>
      </c>
      <c r="F352" s="19" t="str">
        <f aca="false">IF($A352="","",IF(ISNA(MATCH($H352,Buffers!$AE:$AE,0)),"Not on Buffers",IF(NOT(ISNUMBER($B352)),"Needs a date",IF(INT($B352)&lt;PlanDate,"Past due",IF(INT($B352)=PlanDate,"Due today",IF(AND(INDEX(Buffers!$L:$L,MATCH($H352,Buffers!$AE:$AE,0))="Planned",$E352&gt;0,INT($B352)&lt;=PlanDate+ROUNDUP(IF(ISNUMBER(SpikeHorizon),SpikeHorizon,INDEX(Buffers!$D:$D,MATCH($H352,Buffers!$AE:$AE,0))),0),$E352&gt;=SpikePct*INDEX(Buffers!$P:$P,MATCH($H352,Buffers!$AE:$AE,0))),"Spike","Not qualified"))))))</f>
        <v/>
      </c>
      <c r="G352" s="8" t="str">
        <f aca="false">IF($A352="","",IF(OR($F352="Past due",$F352="Due today",$F352="Spike"),$C352,0))</f>
        <v/>
      </c>
      <c r="H352" s="8" t="str">
        <f aca="false">IF($A352="","",SUBSTITUTE(SUBSTITUTE(SUBSTITUTE($A352&amp;"","~","~~"),"*","~*"),"?","~?"))</f>
        <v/>
      </c>
    </row>
    <row r="353" customFormat="false" ht="15" hidden="false" customHeight="false" outlineLevel="0" collapsed="false">
      <c r="A353" s="11"/>
      <c r="B353" s="6"/>
      <c r="C353" s="11"/>
      <c r="D353" s="11"/>
      <c r="E353" s="8" t="str">
        <f aca="false">IF($A353="","",SUMIFS($C:$C,$A:$A,$H353,$B:$B,"&gt;="&amp;INT($B353),$B:$B,"&lt;"&amp;(INT($B353)+1)))</f>
        <v/>
      </c>
      <c r="F353" s="19" t="str">
        <f aca="false">IF($A353="","",IF(ISNA(MATCH($H353,Buffers!$AE:$AE,0)),"Not on Buffers",IF(NOT(ISNUMBER($B353)),"Needs a date",IF(INT($B353)&lt;PlanDate,"Past due",IF(INT($B353)=PlanDate,"Due today",IF(AND(INDEX(Buffers!$L:$L,MATCH($H353,Buffers!$AE:$AE,0))="Planned",$E353&gt;0,INT($B353)&lt;=PlanDate+ROUNDUP(IF(ISNUMBER(SpikeHorizon),SpikeHorizon,INDEX(Buffers!$D:$D,MATCH($H353,Buffers!$AE:$AE,0))),0),$E353&gt;=SpikePct*INDEX(Buffers!$P:$P,MATCH($H353,Buffers!$AE:$AE,0))),"Spike","Not qualified"))))))</f>
        <v/>
      </c>
      <c r="G353" s="8" t="str">
        <f aca="false">IF($A353="","",IF(OR($F353="Past due",$F353="Due today",$F353="Spike"),$C353,0))</f>
        <v/>
      </c>
      <c r="H353" s="8" t="str">
        <f aca="false">IF($A353="","",SUBSTITUTE(SUBSTITUTE(SUBSTITUTE($A353&amp;"","~","~~"),"*","~*"),"?","~?"))</f>
        <v/>
      </c>
    </row>
    <row r="354" customFormat="false" ht="15" hidden="false" customHeight="false" outlineLevel="0" collapsed="false">
      <c r="A354" s="11"/>
      <c r="B354" s="6"/>
      <c r="C354" s="11"/>
      <c r="D354" s="11"/>
      <c r="E354" s="8" t="str">
        <f aca="false">IF($A354="","",SUMIFS($C:$C,$A:$A,$H354,$B:$B,"&gt;="&amp;INT($B354),$B:$B,"&lt;"&amp;(INT($B354)+1)))</f>
        <v/>
      </c>
      <c r="F354" s="19" t="str">
        <f aca="false">IF($A354="","",IF(ISNA(MATCH($H354,Buffers!$AE:$AE,0)),"Not on Buffers",IF(NOT(ISNUMBER($B354)),"Needs a date",IF(INT($B354)&lt;PlanDate,"Past due",IF(INT($B354)=PlanDate,"Due today",IF(AND(INDEX(Buffers!$L:$L,MATCH($H354,Buffers!$AE:$AE,0))="Planned",$E354&gt;0,INT($B354)&lt;=PlanDate+ROUNDUP(IF(ISNUMBER(SpikeHorizon),SpikeHorizon,INDEX(Buffers!$D:$D,MATCH($H354,Buffers!$AE:$AE,0))),0),$E354&gt;=SpikePct*INDEX(Buffers!$P:$P,MATCH($H354,Buffers!$AE:$AE,0))),"Spike","Not qualified"))))))</f>
        <v/>
      </c>
      <c r="G354" s="8" t="str">
        <f aca="false">IF($A354="","",IF(OR($F354="Past due",$F354="Due today",$F354="Spike"),$C354,0))</f>
        <v/>
      </c>
      <c r="H354" s="8" t="str">
        <f aca="false">IF($A354="","",SUBSTITUTE(SUBSTITUTE(SUBSTITUTE($A354&amp;"","~","~~"),"*","~*"),"?","~?"))</f>
        <v/>
      </c>
    </row>
    <row r="355" customFormat="false" ht="15" hidden="false" customHeight="false" outlineLevel="0" collapsed="false">
      <c r="A355" s="11"/>
      <c r="B355" s="6"/>
      <c r="C355" s="11"/>
      <c r="D355" s="11"/>
      <c r="E355" s="8" t="str">
        <f aca="false">IF($A355="","",SUMIFS($C:$C,$A:$A,$H355,$B:$B,"&gt;="&amp;INT($B355),$B:$B,"&lt;"&amp;(INT($B355)+1)))</f>
        <v/>
      </c>
      <c r="F355" s="19" t="str">
        <f aca="false">IF($A355="","",IF(ISNA(MATCH($H355,Buffers!$AE:$AE,0)),"Not on Buffers",IF(NOT(ISNUMBER($B355)),"Needs a date",IF(INT($B355)&lt;PlanDate,"Past due",IF(INT($B355)=PlanDate,"Due today",IF(AND(INDEX(Buffers!$L:$L,MATCH($H355,Buffers!$AE:$AE,0))="Planned",$E355&gt;0,INT($B355)&lt;=PlanDate+ROUNDUP(IF(ISNUMBER(SpikeHorizon),SpikeHorizon,INDEX(Buffers!$D:$D,MATCH($H355,Buffers!$AE:$AE,0))),0),$E355&gt;=SpikePct*INDEX(Buffers!$P:$P,MATCH($H355,Buffers!$AE:$AE,0))),"Spike","Not qualified"))))))</f>
        <v/>
      </c>
      <c r="G355" s="8" t="str">
        <f aca="false">IF($A355="","",IF(OR($F355="Past due",$F355="Due today",$F355="Spike"),$C355,0))</f>
        <v/>
      </c>
      <c r="H355" s="8" t="str">
        <f aca="false">IF($A355="","",SUBSTITUTE(SUBSTITUTE(SUBSTITUTE($A355&amp;"","~","~~"),"*","~*"),"?","~?"))</f>
        <v/>
      </c>
    </row>
    <row r="356" customFormat="false" ht="15" hidden="false" customHeight="false" outlineLevel="0" collapsed="false">
      <c r="A356" s="11"/>
      <c r="B356" s="6"/>
      <c r="C356" s="11"/>
      <c r="D356" s="11"/>
      <c r="E356" s="8" t="str">
        <f aca="false">IF($A356="","",SUMIFS($C:$C,$A:$A,$H356,$B:$B,"&gt;="&amp;INT($B356),$B:$B,"&lt;"&amp;(INT($B356)+1)))</f>
        <v/>
      </c>
      <c r="F356" s="19" t="str">
        <f aca="false">IF($A356="","",IF(ISNA(MATCH($H356,Buffers!$AE:$AE,0)),"Not on Buffers",IF(NOT(ISNUMBER($B356)),"Needs a date",IF(INT($B356)&lt;PlanDate,"Past due",IF(INT($B356)=PlanDate,"Due today",IF(AND(INDEX(Buffers!$L:$L,MATCH($H356,Buffers!$AE:$AE,0))="Planned",$E356&gt;0,INT($B356)&lt;=PlanDate+ROUNDUP(IF(ISNUMBER(SpikeHorizon),SpikeHorizon,INDEX(Buffers!$D:$D,MATCH($H356,Buffers!$AE:$AE,0))),0),$E356&gt;=SpikePct*INDEX(Buffers!$P:$P,MATCH($H356,Buffers!$AE:$AE,0))),"Spike","Not qualified"))))))</f>
        <v/>
      </c>
      <c r="G356" s="8" t="str">
        <f aca="false">IF($A356="","",IF(OR($F356="Past due",$F356="Due today",$F356="Spike"),$C356,0))</f>
        <v/>
      </c>
      <c r="H356" s="8" t="str">
        <f aca="false">IF($A356="","",SUBSTITUTE(SUBSTITUTE(SUBSTITUTE($A356&amp;"","~","~~"),"*","~*"),"?","~?"))</f>
        <v/>
      </c>
    </row>
    <row r="357" customFormat="false" ht="15" hidden="false" customHeight="false" outlineLevel="0" collapsed="false">
      <c r="A357" s="11"/>
      <c r="B357" s="6"/>
      <c r="C357" s="11"/>
      <c r="D357" s="11"/>
      <c r="E357" s="8" t="str">
        <f aca="false">IF($A357="","",SUMIFS($C:$C,$A:$A,$H357,$B:$B,"&gt;="&amp;INT($B357),$B:$B,"&lt;"&amp;(INT($B357)+1)))</f>
        <v/>
      </c>
      <c r="F357" s="19" t="str">
        <f aca="false">IF($A357="","",IF(ISNA(MATCH($H357,Buffers!$AE:$AE,0)),"Not on Buffers",IF(NOT(ISNUMBER($B357)),"Needs a date",IF(INT($B357)&lt;PlanDate,"Past due",IF(INT($B357)=PlanDate,"Due today",IF(AND(INDEX(Buffers!$L:$L,MATCH($H357,Buffers!$AE:$AE,0))="Planned",$E357&gt;0,INT($B357)&lt;=PlanDate+ROUNDUP(IF(ISNUMBER(SpikeHorizon),SpikeHorizon,INDEX(Buffers!$D:$D,MATCH($H357,Buffers!$AE:$AE,0))),0),$E357&gt;=SpikePct*INDEX(Buffers!$P:$P,MATCH($H357,Buffers!$AE:$AE,0))),"Spike","Not qualified"))))))</f>
        <v/>
      </c>
      <c r="G357" s="8" t="str">
        <f aca="false">IF($A357="","",IF(OR($F357="Past due",$F357="Due today",$F357="Spike"),$C357,0))</f>
        <v/>
      </c>
      <c r="H357" s="8" t="str">
        <f aca="false">IF($A357="","",SUBSTITUTE(SUBSTITUTE(SUBSTITUTE($A357&amp;"","~","~~"),"*","~*"),"?","~?"))</f>
        <v/>
      </c>
    </row>
    <row r="358" customFormat="false" ht="15" hidden="false" customHeight="false" outlineLevel="0" collapsed="false">
      <c r="A358" s="11"/>
      <c r="B358" s="6"/>
      <c r="C358" s="11"/>
      <c r="D358" s="11"/>
      <c r="E358" s="8" t="str">
        <f aca="false">IF($A358="","",SUMIFS($C:$C,$A:$A,$H358,$B:$B,"&gt;="&amp;INT($B358),$B:$B,"&lt;"&amp;(INT($B358)+1)))</f>
        <v/>
      </c>
      <c r="F358" s="19" t="str">
        <f aca="false">IF($A358="","",IF(ISNA(MATCH($H358,Buffers!$AE:$AE,0)),"Not on Buffers",IF(NOT(ISNUMBER($B358)),"Needs a date",IF(INT($B358)&lt;PlanDate,"Past due",IF(INT($B358)=PlanDate,"Due today",IF(AND(INDEX(Buffers!$L:$L,MATCH($H358,Buffers!$AE:$AE,0))="Planned",$E358&gt;0,INT($B358)&lt;=PlanDate+ROUNDUP(IF(ISNUMBER(SpikeHorizon),SpikeHorizon,INDEX(Buffers!$D:$D,MATCH($H358,Buffers!$AE:$AE,0))),0),$E358&gt;=SpikePct*INDEX(Buffers!$P:$P,MATCH($H358,Buffers!$AE:$AE,0))),"Spike","Not qualified"))))))</f>
        <v/>
      </c>
      <c r="G358" s="8" t="str">
        <f aca="false">IF($A358="","",IF(OR($F358="Past due",$F358="Due today",$F358="Spike"),$C358,0))</f>
        <v/>
      </c>
      <c r="H358" s="8" t="str">
        <f aca="false">IF($A358="","",SUBSTITUTE(SUBSTITUTE(SUBSTITUTE($A358&amp;"","~","~~"),"*","~*"),"?","~?"))</f>
        <v/>
      </c>
    </row>
    <row r="359" customFormat="false" ht="15" hidden="false" customHeight="false" outlineLevel="0" collapsed="false">
      <c r="A359" s="11"/>
      <c r="B359" s="6"/>
      <c r="C359" s="11"/>
      <c r="D359" s="11"/>
      <c r="E359" s="8" t="str">
        <f aca="false">IF($A359="","",SUMIFS($C:$C,$A:$A,$H359,$B:$B,"&gt;="&amp;INT($B359),$B:$B,"&lt;"&amp;(INT($B359)+1)))</f>
        <v/>
      </c>
      <c r="F359" s="19" t="str">
        <f aca="false">IF($A359="","",IF(ISNA(MATCH($H359,Buffers!$AE:$AE,0)),"Not on Buffers",IF(NOT(ISNUMBER($B359)),"Needs a date",IF(INT($B359)&lt;PlanDate,"Past due",IF(INT($B359)=PlanDate,"Due today",IF(AND(INDEX(Buffers!$L:$L,MATCH($H359,Buffers!$AE:$AE,0))="Planned",$E359&gt;0,INT($B359)&lt;=PlanDate+ROUNDUP(IF(ISNUMBER(SpikeHorizon),SpikeHorizon,INDEX(Buffers!$D:$D,MATCH($H359,Buffers!$AE:$AE,0))),0),$E359&gt;=SpikePct*INDEX(Buffers!$P:$P,MATCH($H359,Buffers!$AE:$AE,0))),"Spike","Not qualified"))))))</f>
        <v/>
      </c>
      <c r="G359" s="8" t="str">
        <f aca="false">IF($A359="","",IF(OR($F359="Past due",$F359="Due today",$F359="Spike"),$C359,0))</f>
        <v/>
      </c>
      <c r="H359" s="8" t="str">
        <f aca="false">IF($A359="","",SUBSTITUTE(SUBSTITUTE(SUBSTITUTE($A359&amp;"","~","~~"),"*","~*"),"?","~?"))</f>
        <v/>
      </c>
    </row>
    <row r="360" customFormat="false" ht="15" hidden="false" customHeight="false" outlineLevel="0" collapsed="false">
      <c r="A360" s="11"/>
      <c r="B360" s="6"/>
      <c r="C360" s="11"/>
      <c r="D360" s="11"/>
      <c r="E360" s="8" t="str">
        <f aca="false">IF($A360="","",SUMIFS($C:$C,$A:$A,$H360,$B:$B,"&gt;="&amp;INT($B360),$B:$B,"&lt;"&amp;(INT($B360)+1)))</f>
        <v/>
      </c>
      <c r="F360" s="19" t="str">
        <f aca="false">IF($A360="","",IF(ISNA(MATCH($H360,Buffers!$AE:$AE,0)),"Not on Buffers",IF(NOT(ISNUMBER($B360)),"Needs a date",IF(INT($B360)&lt;PlanDate,"Past due",IF(INT($B360)=PlanDate,"Due today",IF(AND(INDEX(Buffers!$L:$L,MATCH($H360,Buffers!$AE:$AE,0))="Planned",$E360&gt;0,INT($B360)&lt;=PlanDate+ROUNDUP(IF(ISNUMBER(SpikeHorizon),SpikeHorizon,INDEX(Buffers!$D:$D,MATCH($H360,Buffers!$AE:$AE,0))),0),$E360&gt;=SpikePct*INDEX(Buffers!$P:$P,MATCH($H360,Buffers!$AE:$AE,0))),"Spike","Not qualified"))))))</f>
        <v/>
      </c>
      <c r="G360" s="8" t="str">
        <f aca="false">IF($A360="","",IF(OR($F360="Past due",$F360="Due today",$F360="Spike"),$C360,0))</f>
        <v/>
      </c>
      <c r="H360" s="8" t="str">
        <f aca="false">IF($A360="","",SUBSTITUTE(SUBSTITUTE(SUBSTITUTE($A360&amp;"","~","~~"),"*","~*"),"?","~?"))</f>
        <v/>
      </c>
    </row>
    <row r="361" customFormat="false" ht="15" hidden="false" customHeight="false" outlineLevel="0" collapsed="false">
      <c r="A361" s="11"/>
      <c r="B361" s="6"/>
      <c r="C361" s="11"/>
      <c r="D361" s="11"/>
      <c r="E361" s="8" t="str">
        <f aca="false">IF($A361="","",SUMIFS($C:$C,$A:$A,$H361,$B:$B,"&gt;="&amp;INT($B361),$B:$B,"&lt;"&amp;(INT($B361)+1)))</f>
        <v/>
      </c>
      <c r="F361" s="19" t="str">
        <f aca="false">IF($A361="","",IF(ISNA(MATCH($H361,Buffers!$AE:$AE,0)),"Not on Buffers",IF(NOT(ISNUMBER($B361)),"Needs a date",IF(INT($B361)&lt;PlanDate,"Past due",IF(INT($B361)=PlanDate,"Due today",IF(AND(INDEX(Buffers!$L:$L,MATCH($H361,Buffers!$AE:$AE,0))="Planned",$E361&gt;0,INT($B361)&lt;=PlanDate+ROUNDUP(IF(ISNUMBER(SpikeHorizon),SpikeHorizon,INDEX(Buffers!$D:$D,MATCH($H361,Buffers!$AE:$AE,0))),0),$E361&gt;=SpikePct*INDEX(Buffers!$P:$P,MATCH($H361,Buffers!$AE:$AE,0))),"Spike","Not qualified"))))))</f>
        <v/>
      </c>
      <c r="G361" s="8" t="str">
        <f aca="false">IF($A361="","",IF(OR($F361="Past due",$F361="Due today",$F361="Spike"),$C361,0))</f>
        <v/>
      </c>
      <c r="H361" s="8" t="str">
        <f aca="false">IF($A361="","",SUBSTITUTE(SUBSTITUTE(SUBSTITUTE($A361&amp;"","~","~~"),"*","~*"),"?","~?"))</f>
        <v/>
      </c>
    </row>
    <row r="362" customFormat="false" ht="15" hidden="false" customHeight="false" outlineLevel="0" collapsed="false">
      <c r="A362" s="11"/>
      <c r="B362" s="6"/>
      <c r="C362" s="11"/>
      <c r="D362" s="11"/>
      <c r="E362" s="8" t="str">
        <f aca="false">IF($A362="","",SUMIFS($C:$C,$A:$A,$H362,$B:$B,"&gt;="&amp;INT($B362),$B:$B,"&lt;"&amp;(INT($B362)+1)))</f>
        <v/>
      </c>
      <c r="F362" s="19" t="str">
        <f aca="false">IF($A362="","",IF(ISNA(MATCH($H362,Buffers!$AE:$AE,0)),"Not on Buffers",IF(NOT(ISNUMBER($B362)),"Needs a date",IF(INT($B362)&lt;PlanDate,"Past due",IF(INT($B362)=PlanDate,"Due today",IF(AND(INDEX(Buffers!$L:$L,MATCH($H362,Buffers!$AE:$AE,0))="Planned",$E362&gt;0,INT($B362)&lt;=PlanDate+ROUNDUP(IF(ISNUMBER(SpikeHorizon),SpikeHorizon,INDEX(Buffers!$D:$D,MATCH($H362,Buffers!$AE:$AE,0))),0),$E362&gt;=SpikePct*INDEX(Buffers!$P:$P,MATCH($H362,Buffers!$AE:$AE,0))),"Spike","Not qualified"))))))</f>
        <v/>
      </c>
      <c r="G362" s="8" t="str">
        <f aca="false">IF($A362="","",IF(OR($F362="Past due",$F362="Due today",$F362="Spike"),$C362,0))</f>
        <v/>
      </c>
      <c r="H362" s="8" t="str">
        <f aca="false">IF($A362="","",SUBSTITUTE(SUBSTITUTE(SUBSTITUTE($A362&amp;"","~","~~"),"*","~*"),"?","~?"))</f>
        <v/>
      </c>
    </row>
    <row r="363" customFormat="false" ht="15" hidden="false" customHeight="false" outlineLevel="0" collapsed="false">
      <c r="A363" s="11"/>
      <c r="B363" s="6"/>
      <c r="C363" s="11"/>
      <c r="D363" s="11"/>
      <c r="E363" s="8" t="str">
        <f aca="false">IF($A363="","",SUMIFS($C:$C,$A:$A,$H363,$B:$B,"&gt;="&amp;INT($B363),$B:$B,"&lt;"&amp;(INT($B363)+1)))</f>
        <v/>
      </c>
      <c r="F363" s="19" t="str">
        <f aca="false">IF($A363="","",IF(ISNA(MATCH($H363,Buffers!$AE:$AE,0)),"Not on Buffers",IF(NOT(ISNUMBER($B363)),"Needs a date",IF(INT($B363)&lt;PlanDate,"Past due",IF(INT($B363)=PlanDate,"Due today",IF(AND(INDEX(Buffers!$L:$L,MATCH($H363,Buffers!$AE:$AE,0))="Planned",$E363&gt;0,INT($B363)&lt;=PlanDate+ROUNDUP(IF(ISNUMBER(SpikeHorizon),SpikeHorizon,INDEX(Buffers!$D:$D,MATCH($H363,Buffers!$AE:$AE,0))),0),$E363&gt;=SpikePct*INDEX(Buffers!$P:$P,MATCH($H363,Buffers!$AE:$AE,0))),"Spike","Not qualified"))))))</f>
        <v/>
      </c>
      <c r="G363" s="8" t="str">
        <f aca="false">IF($A363="","",IF(OR($F363="Past due",$F363="Due today",$F363="Spike"),$C363,0))</f>
        <v/>
      </c>
      <c r="H363" s="8" t="str">
        <f aca="false">IF($A363="","",SUBSTITUTE(SUBSTITUTE(SUBSTITUTE($A363&amp;"","~","~~"),"*","~*"),"?","~?"))</f>
        <v/>
      </c>
    </row>
    <row r="364" customFormat="false" ht="15" hidden="false" customHeight="false" outlineLevel="0" collapsed="false">
      <c r="A364" s="11"/>
      <c r="B364" s="6"/>
      <c r="C364" s="11"/>
      <c r="D364" s="11"/>
      <c r="E364" s="8" t="str">
        <f aca="false">IF($A364="","",SUMIFS($C:$C,$A:$A,$H364,$B:$B,"&gt;="&amp;INT($B364),$B:$B,"&lt;"&amp;(INT($B364)+1)))</f>
        <v/>
      </c>
      <c r="F364" s="19" t="str">
        <f aca="false">IF($A364="","",IF(ISNA(MATCH($H364,Buffers!$AE:$AE,0)),"Not on Buffers",IF(NOT(ISNUMBER($B364)),"Needs a date",IF(INT($B364)&lt;PlanDate,"Past due",IF(INT($B364)=PlanDate,"Due today",IF(AND(INDEX(Buffers!$L:$L,MATCH($H364,Buffers!$AE:$AE,0))="Planned",$E364&gt;0,INT($B364)&lt;=PlanDate+ROUNDUP(IF(ISNUMBER(SpikeHorizon),SpikeHorizon,INDEX(Buffers!$D:$D,MATCH($H364,Buffers!$AE:$AE,0))),0),$E364&gt;=SpikePct*INDEX(Buffers!$P:$P,MATCH($H364,Buffers!$AE:$AE,0))),"Spike","Not qualified"))))))</f>
        <v/>
      </c>
      <c r="G364" s="8" t="str">
        <f aca="false">IF($A364="","",IF(OR($F364="Past due",$F364="Due today",$F364="Spike"),$C364,0))</f>
        <v/>
      </c>
      <c r="H364" s="8" t="str">
        <f aca="false">IF($A364="","",SUBSTITUTE(SUBSTITUTE(SUBSTITUTE($A364&amp;"","~","~~"),"*","~*"),"?","~?"))</f>
        <v/>
      </c>
    </row>
    <row r="365" customFormat="false" ht="15" hidden="false" customHeight="false" outlineLevel="0" collapsed="false">
      <c r="A365" s="11"/>
      <c r="B365" s="6"/>
      <c r="C365" s="11"/>
      <c r="D365" s="11"/>
      <c r="E365" s="8" t="str">
        <f aca="false">IF($A365="","",SUMIFS($C:$C,$A:$A,$H365,$B:$B,"&gt;="&amp;INT($B365),$B:$B,"&lt;"&amp;(INT($B365)+1)))</f>
        <v/>
      </c>
      <c r="F365" s="19" t="str">
        <f aca="false">IF($A365="","",IF(ISNA(MATCH($H365,Buffers!$AE:$AE,0)),"Not on Buffers",IF(NOT(ISNUMBER($B365)),"Needs a date",IF(INT($B365)&lt;PlanDate,"Past due",IF(INT($B365)=PlanDate,"Due today",IF(AND(INDEX(Buffers!$L:$L,MATCH($H365,Buffers!$AE:$AE,0))="Planned",$E365&gt;0,INT($B365)&lt;=PlanDate+ROUNDUP(IF(ISNUMBER(SpikeHorizon),SpikeHorizon,INDEX(Buffers!$D:$D,MATCH($H365,Buffers!$AE:$AE,0))),0),$E365&gt;=SpikePct*INDEX(Buffers!$P:$P,MATCH($H365,Buffers!$AE:$AE,0))),"Spike","Not qualified"))))))</f>
        <v/>
      </c>
      <c r="G365" s="8" t="str">
        <f aca="false">IF($A365="","",IF(OR($F365="Past due",$F365="Due today",$F365="Spike"),$C365,0))</f>
        <v/>
      </c>
      <c r="H365" s="8" t="str">
        <f aca="false">IF($A365="","",SUBSTITUTE(SUBSTITUTE(SUBSTITUTE($A365&amp;"","~","~~"),"*","~*"),"?","~?"))</f>
        <v/>
      </c>
    </row>
    <row r="366" customFormat="false" ht="15" hidden="false" customHeight="false" outlineLevel="0" collapsed="false">
      <c r="A366" s="11"/>
      <c r="B366" s="6"/>
      <c r="C366" s="11"/>
      <c r="D366" s="11"/>
      <c r="E366" s="8" t="str">
        <f aca="false">IF($A366="","",SUMIFS($C:$C,$A:$A,$H366,$B:$B,"&gt;="&amp;INT($B366),$B:$B,"&lt;"&amp;(INT($B366)+1)))</f>
        <v/>
      </c>
      <c r="F366" s="19" t="str">
        <f aca="false">IF($A366="","",IF(ISNA(MATCH($H366,Buffers!$AE:$AE,0)),"Not on Buffers",IF(NOT(ISNUMBER($B366)),"Needs a date",IF(INT($B366)&lt;PlanDate,"Past due",IF(INT($B366)=PlanDate,"Due today",IF(AND(INDEX(Buffers!$L:$L,MATCH($H366,Buffers!$AE:$AE,0))="Planned",$E366&gt;0,INT($B366)&lt;=PlanDate+ROUNDUP(IF(ISNUMBER(SpikeHorizon),SpikeHorizon,INDEX(Buffers!$D:$D,MATCH($H366,Buffers!$AE:$AE,0))),0),$E366&gt;=SpikePct*INDEX(Buffers!$P:$P,MATCH($H366,Buffers!$AE:$AE,0))),"Spike","Not qualified"))))))</f>
        <v/>
      </c>
      <c r="G366" s="8" t="str">
        <f aca="false">IF($A366="","",IF(OR($F366="Past due",$F366="Due today",$F366="Spike"),$C366,0))</f>
        <v/>
      </c>
      <c r="H366" s="8" t="str">
        <f aca="false">IF($A366="","",SUBSTITUTE(SUBSTITUTE(SUBSTITUTE($A366&amp;"","~","~~"),"*","~*"),"?","~?"))</f>
        <v/>
      </c>
    </row>
    <row r="367" customFormat="false" ht="15" hidden="false" customHeight="false" outlineLevel="0" collapsed="false">
      <c r="A367" s="11"/>
      <c r="B367" s="6"/>
      <c r="C367" s="11"/>
      <c r="D367" s="11"/>
      <c r="E367" s="8" t="str">
        <f aca="false">IF($A367="","",SUMIFS($C:$C,$A:$A,$H367,$B:$B,"&gt;="&amp;INT($B367),$B:$B,"&lt;"&amp;(INT($B367)+1)))</f>
        <v/>
      </c>
      <c r="F367" s="19" t="str">
        <f aca="false">IF($A367="","",IF(ISNA(MATCH($H367,Buffers!$AE:$AE,0)),"Not on Buffers",IF(NOT(ISNUMBER($B367)),"Needs a date",IF(INT($B367)&lt;PlanDate,"Past due",IF(INT($B367)=PlanDate,"Due today",IF(AND(INDEX(Buffers!$L:$L,MATCH($H367,Buffers!$AE:$AE,0))="Planned",$E367&gt;0,INT($B367)&lt;=PlanDate+ROUNDUP(IF(ISNUMBER(SpikeHorizon),SpikeHorizon,INDEX(Buffers!$D:$D,MATCH($H367,Buffers!$AE:$AE,0))),0),$E367&gt;=SpikePct*INDEX(Buffers!$P:$P,MATCH($H367,Buffers!$AE:$AE,0))),"Spike","Not qualified"))))))</f>
        <v/>
      </c>
      <c r="G367" s="8" t="str">
        <f aca="false">IF($A367="","",IF(OR($F367="Past due",$F367="Due today",$F367="Spike"),$C367,0))</f>
        <v/>
      </c>
      <c r="H367" s="8" t="str">
        <f aca="false">IF($A367="","",SUBSTITUTE(SUBSTITUTE(SUBSTITUTE($A367&amp;"","~","~~"),"*","~*"),"?","~?"))</f>
        <v/>
      </c>
    </row>
    <row r="368" customFormat="false" ht="15" hidden="false" customHeight="false" outlineLevel="0" collapsed="false">
      <c r="A368" s="11"/>
      <c r="B368" s="6"/>
      <c r="C368" s="11"/>
      <c r="D368" s="11"/>
      <c r="E368" s="8" t="str">
        <f aca="false">IF($A368="","",SUMIFS($C:$C,$A:$A,$H368,$B:$B,"&gt;="&amp;INT($B368),$B:$B,"&lt;"&amp;(INT($B368)+1)))</f>
        <v/>
      </c>
      <c r="F368" s="19" t="str">
        <f aca="false">IF($A368="","",IF(ISNA(MATCH($H368,Buffers!$AE:$AE,0)),"Not on Buffers",IF(NOT(ISNUMBER($B368)),"Needs a date",IF(INT($B368)&lt;PlanDate,"Past due",IF(INT($B368)=PlanDate,"Due today",IF(AND(INDEX(Buffers!$L:$L,MATCH($H368,Buffers!$AE:$AE,0))="Planned",$E368&gt;0,INT($B368)&lt;=PlanDate+ROUNDUP(IF(ISNUMBER(SpikeHorizon),SpikeHorizon,INDEX(Buffers!$D:$D,MATCH($H368,Buffers!$AE:$AE,0))),0),$E368&gt;=SpikePct*INDEX(Buffers!$P:$P,MATCH($H368,Buffers!$AE:$AE,0))),"Spike","Not qualified"))))))</f>
        <v/>
      </c>
      <c r="G368" s="8" t="str">
        <f aca="false">IF($A368="","",IF(OR($F368="Past due",$F368="Due today",$F368="Spike"),$C368,0))</f>
        <v/>
      </c>
      <c r="H368" s="8" t="str">
        <f aca="false">IF($A368="","",SUBSTITUTE(SUBSTITUTE(SUBSTITUTE($A368&amp;"","~","~~"),"*","~*"),"?","~?"))</f>
        <v/>
      </c>
    </row>
    <row r="369" customFormat="false" ht="15" hidden="false" customHeight="false" outlineLevel="0" collapsed="false">
      <c r="A369" s="11"/>
      <c r="B369" s="6"/>
      <c r="C369" s="11"/>
      <c r="D369" s="11"/>
      <c r="E369" s="8" t="str">
        <f aca="false">IF($A369="","",SUMIFS($C:$C,$A:$A,$H369,$B:$B,"&gt;="&amp;INT($B369),$B:$B,"&lt;"&amp;(INT($B369)+1)))</f>
        <v/>
      </c>
      <c r="F369" s="19" t="str">
        <f aca="false">IF($A369="","",IF(ISNA(MATCH($H369,Buffers!$AE:$AE,0)),"Not on Buffers",IF(NOT(ISNUMBER($B369)),"Needs a date",IF(INT($B369)&lt;PlanDate,"Past due",IF(INT($B369)=PlanDate,"Due today",IF(AND(INDEX(Buffers!$L:$L,MATCH($H369,Buffers!$AE:$AE,0))="Planned",$E369&gt;0,INT($B369)&lt;=PlanDate+ROUNDUP(IF(ISNUMBER(SpikeHorizon),SpikeHorizon,INDEX(Buffers!$D:$D,MATCH($H369,Buffers!$AE:$AE,0))),0),$E369&gt;=SpikePct*INDEX(Buffers!$P:$P,MATCH($H369,Buffers!$AE:$AE,0))),"Spike","Not qualified"))))))</f>
        <v/>
      </c>
      <c r="G369" s="8" t="str">
        <f aca="false">IF($A369="","",IF(OR($F369="Past due",$F369="Due today",$F369="Spike"),$C369,0))</f>
        <v/>
      </c>
      <c r="H369" s="8" t="str">
        <f aca="false">IF($A369="","",SUBSTITUTE(SUBSTITUTE(SUBSTITUTE($A369&amp;"","~","~~"),"*","~*"),"?","~?"))</f>
        <v/>
      </c>
    </row>
    <row r="370" customFormat="false" ht="15" hidden="false" customHeight="false" outlineLevel="0" collapsed="false">
      <c r="A370" s="11"/>
      <c r="B370" s="6"/>
      <c r="C370" s="11"/>
      <c r="D370" s="11"/>
      <c r="E370" s="8" t="str">
        <f aca="false">IF($A370="","",SUMIFS($C:$C,$A:$A,$H370,$B:$B,"&gt;="&amp;INT($B370),$B:$B,"&lt;"&amp;(INT($B370)+1)))</f>
        <v/>
      </c>
      <c r="F370" s="19" t="str">
        <f aca="false">IF($A370="","",IF(ISNA(MATCH($H370,Buffers!$AE:$AE,0)),"Not on Buffers",IF(NOT(ISNUMBER($B370)),"Needs a date",IF(INT($B370)&lt;PlanDate,"Past due",IF(INT($B370)=PlanDate,"Due today",IF(AND(INDEX(Buffers!$L:$L,MATCH($H370,Buffers!$AE:$AE,0))="Planned",$E370&gt;0,INT($B370)&lt;=PlanDate+ROUNDUP(IF(ISNUMBER(SpikeHorizon),SpikeHorizon,INDEX(Buffers!$D:$D,MATCH($H370,Buffers!$AE:$AE,0))),0),$E370&gt;=SpikePct*INDEX(Buffers!$P:$P,MATCH($H370,Buffers!$AE:$AE,0))),"Spike","Not qualified"))))))</f>
        <v/>
      </c>
      <c r="G370" s="8" t="str">
        <f aca="false">IF($A370="","",IF(OR($F370="Past due",$F370="Due today",$F370="Spike"),$C370,0))</f>
        <v/>
      </c>
      <c r="H370" s="8" t="str">
        <f aca="false">IF($A370="","",SUBSTITUTE(SUBSTITUTE(SUBSTITUTE($A370&amp;"","~","~~"),"*","~*"),"?","~?"))</f>
        <v/>
      </c>
    </row>
    <row r="371" customFormat="false" ht="15" hidden="false" customHeight="false" outlineLevel="0" collapsed="false">
      <c r="A371" s="11"/>
      <c r="B371" s="6"/>
      <c r="C371" s="11"/>
      <c r="D371" s="11"/>
      <c r="E371" s="8" t="str">
        <f aca="false">IF($A371="","",SUMIFS($C:$C,$A:$A,$H371,$B:$B,"&gt;="&amp;INT($B371),$B:$B,"&lt;"&amp;(INT($B371)+1)))</f>
        <v/>
      </c>
      <c r="F371" s="19" t="str">
        <f aca="false">IF($A371="","",IF(ISNA(MATCH($H371,Buffers!$AE:$AE,0)),"Not on Buffers",IF(NOT(ISNUMBER($B371)),"Needs a date",IF(INT($B371)&lt;PlanDate,"Past due",IF(INT($B371)=PlanDate,"Due today",IF(AND(INDEX(Buffers!$L:$L,MATCH($H371,Buffers!$AE:$AE,0))="Planned",$E371&gt;0,INT($B371)&lt;=PlanDate+ROUNDUP(IF(ISNUMBER(SpikeHorizon),SpikeHorizon,INDEX(Buffers!$D:$D,MATCH($H371,Buffers!$AE:$AE,0))),0),$E371&gt;=SpikePct*INDEX(Buffers!$P:$P,MATCH($H371,Buffers!$AE:$AE,0))),"Spike","Not qualified"))))))</f>
        <v/>
      </c>
      <c r="G371" s="8" t="str">
        <f aca="false">IF($A371="","",IF(OR($F371="Past due",$F371="Due today",$F371="Spike"),$C371,0))</f>
        <v/>
      </c>
      <c r="H371" s="8" t="str">
        <f aca="false">IF($A371="","",SUBSTITUTE(SUBSTITUTE(SUBSTITUTE($A371&amp;"","~","~~"),"*","~*"),"?","~?"))</f>
        <v/>
      </c>
    </row>
    <row r="372" customFormat="false" ht="15" hidden="false" customHeight="false" outlineLevel="0" collapsed="false">
      <c r="A372" s="11"/>
      <c r="B372" s="6"/>
      <c r="C372" s="11"/>
      <c r="D372" s="11"/>
      <c r="E372" s="8" t="str">
        <f aca="false">IF($A372="","",SUMIFS($C:$C,$A:$A,$H372,$B:$B,"&gt;="&amp;INT($B372),$B:$B,"&lt;"&amp;(INT($B372)+1)))</f>
        <v/>
      </c>
      <c r="F372" s="19" t="str">
        <f aca="false">IF($A372="","",IF(ISNA(MATCH($H372,Buffers!$AE:$AE,0)),"Not on Buffers",IF(NOT(ISNUMBER($B372)),"Needs a date",IF(INT($B372)&lt;PlanDate,"Past due",IF(INT($B372)=PlanDate,"Due today",IF(AND(INDEX(Buffers!$L:$L,MATCH($H372,Buffers!$AE:$AE,0))="Planned",$E372&gt;0,INT($B372)&lt;=PlanDate+ROUNDUP(IF(ISNUMBER(SpikeHorizon),SpikeHorizon,INDEX(Buffers!$D:$D,MATCH($H372,Buffers!$AE:$AE,0))),0),$E372&gt;=SpikePct*INDEX(Buffers!$P:$P,MATCH($H372,Buffers!$AE:$AE,0))),"Spike","Not qualified"))))))</f>
        <v/>
      </c>
      <c r="G372" s="8" t="str">
        <f aca="false">IF($A372="","",IF(OR($F372="Past due",$F372="Due today",$F372="Spike"),$C372,0))</f>
        <v/>
      </c>
      <c r="H372" s="8" t="str">
        <f aca="false">IF($A372="","",SUBSTITUTE(SUBSTITUTE(SUBSTITUTE($A372&amp;"","~","~~"),"*","~*"),"?","~?"))</f>
        <v/>
      </c>
    </row>
    <row r="373" customFormat="false" ht="15" hidden="false" customHeight="false" outlineLevel="0" collapsed="false">
      <c r="A373" s="11"/>
      <c r="B373" s="6"/>
      <c r="C373" s="11"/>
      <c r="D373" s="11"/>
      <c r="E373" s="8" t="str">
        <f aca="false">IF($A373="","",SUMIFS($C:$C,$A:$A,$H373,$B:$B,"&gt;="&amp;INT($B373),$B:$B,"&lt;"&amp;(INT($B373)+1)))</f>
        <v/>
      </c>
      <c r="F373" s="19" t="str">
        <f aca="false">IF($A373="","",IF(ISNA(MATCH($H373,Buffers!$AE:$AE,0)),"Not on Buffers",IF(NOT(ISNUMBER($B373)),"Needs a date",IF(INT($B373)&lt;PlanDate,"Past due",IF(INT($B373)=PlanDate,"Due today",IF(AND(INDEX(Buffers!$L:$L,MATCH($H373,Buffers!$AE:$AE,0))="Planned",$E373&gt;0,INT($B373)&lt;=PlanDate+ROUNDUP(IF(ISNUMBER(SpikeHorizon),SpikeHorizon,INDEX(Buffers!$D:$D,MATCH($H373,Buffers!$AE:$AE,0))),0),$E373&gt;=SpikePct*INDEX(Buffers!$P:$P,MATCH($H373,Buffers!$AE:$AE,0))),"Spike","Not qualified"))))))</f>
        <v/>
      </c>
      <c r="G373" s="8" t="str">
        <f aca="false">IF($A373="","",IF(OR($F373="Past due",$F373="Due today",$F373="Spike"),$C373,0))</f>
        <v/>
      </c>
      <c r="H373" s="8" t="str">
        <f aca="false">IF($A373="","",SUBSTITUTE(SUBSTITUTE(SUBSTITUTE($A373&amp;"","~","~~"),"*","~*"),"?","~?"))</f>
        <v/>
      </c>
    </row>
    <row r="374" customFormat="false" ht="15" hidden="false" customHeight="false" outlineLevel="0" collapsed="false">
      <c r="A374" s="11"/>
      <c r="B374" s="6"/>
      <c r="C374" s="11"/>
      <c r="D374" s="11"/>
      <c r="E374" s="8" t="str">
        <f aca="false">IF($A374="","",SUMIFS($C:$C,$A:$A,$H374,$B:$B,"&gt;="&amp;INT($B374),$B:$B,"&lt;"&amp;(INT($B374)+1)))</f>
        <v/>
      </c>
      <c r="F374" s="19" t="str">
        <f aca="false">IF($A374="","",IF(ISNA(MATCH($H374,Buffers!$AE:$AE,0)),"Not on Buffers",IF(NOT(ISNUMBER($B374)),"Needs a date",IF(INT($B374)&lt;PlanDate,"Past due",IF(INT($B374)=PlanDate,"Due today",IF(AND(INDEX(Buffers!$L:$L,MATCH($H374,Buffers!$AE:$AE,0))="Planned",$E374&gt;0,INT($B374)&lt;=PlanDate+ROUNDUP(IF(ISNUMBER(SpikeHorizon),SpikeHorizon,INDEX(Buffers!$D:$D,MATCH($H374,Buffers!$AE:$AE,0))),0),$E374&gt;=SpikePct*INDEX(Buffers!$P:$P,MATCH($H374,Buffers!$AE:$AE,0))),"Spike","Not qualified"))))))</f>
        <v/>
      </c>
      <c r="G374" s="8" t="str">
        <f aca="false">IF($A374="","",IF(OR($F374="Past due",$F374="Due today",$F374="Spike"),$C374,0))</f>
        <v/>
      </c>
      <c r="H374" s="8" t="str">
        <f aca="false">IF($A374="","",SUBSTITUTE(SUBSTITUTE(SUBSTITUTE($A374&amp;"","~","~~"),"*","~*"),"?","~?"))</f>
        <v/>
      </c>
    </row>
    <row r="375" customFormat="false" ht="15" hidden="false" customHeight="false" outlineLevel="0" collapsed="false">
      <c r="A375" s="11"/>
      <c r="B375" s="6"/>
      <c r="C375" s="11"/>
      <c r="D375" s="11"/>
      <c r="E375" s="8" t="str">
        <f aca="false">IF($A375="","",SUMIFS($C:$C,$A:$A,$H375,$B:$B,"&gt;="&amp;INT($B375),$B:$B,"&lt;"&amp;(INT($B375)+1)))</f>
        <v/>
      </c>
      <c r="F375" s="19" t="str">
        <f aca="false">IF($A375="","",IF(ISNA(MATCH($H375,Buffers!$AE:$AE,0)),"Not on Buffers",IF(NOT(ISNUMBER($B375)),"Needs a date",IF(INT($B375)&lt;PlanDate,"Past due",IF(INT($B375)=PlanDate,"Due today",IF(AND(INDEX(Buffers!$L:$L,MATCH($H375,Buffers!$AE:$AE,0))="Planned",$E375&gt;0,INT($B375)&lt;=PlanDate+ROUNDUP(IF(ISNUMBER(SpikeHorizon),SpikeHorizon,INDEX(Buffers!$D:$D,MATCH($H375,Buffers!$AE:$AE,0))),0),$E375&gt;=SpikePct*INDEX(Buffers!$P:$P,MATCH($H375,Buffers!$AE:$AE,0))),"Spike","Not qualified"))))))</f>
        <v/>
      </c>
      <c r="G375" s="8" t="str">
        <f aca="false">IF($A375="","",IF(OR($F375="Past due",$F375="Due today",$F375="Spike"),$C375,0))</f>
        <v/>
      </c>
      <c r="H375" s="8" t="str">
        <f aca="false">IF($A375="","",SUBSTITUTE(SUBSTITUTE(SUBSTITUTE($A375&amp;"","~","~~"),"*","~*"),"?","~?"))</f>
        <v/>
      </c>
    </row>
    <row r="376" customFormat="false" ht="15" hidden="false" customHeight="false" outlineLevel="0" collapsed="false">
      <c r="A376" s="11"/>
      <c r="B376" s="6"/>
      <c r="C376" s="11"/>
      <c r="D376" s="11"/>
      <c r="E376" s="8" t="str">
        <f aca="false">IF($A376="","",SUMIFS($C:$C,$A:$A,$H376,$B:$B,"&gt;="&amp;INT($B376),$B:$B,"&lt;"&amp;(INT($B376)+1)))</f>
        <v/>
      </c>
      <c r="F376" s="19" t="str">
        <f aca="false">IF($A376="","",IF(ISNA(MATCH($H376,Buffers!$AE:$AE,0)),"Not on Buffers",IF(NOT(ISNUMBER($B376)),"Needs a date",IF(INT($B376)&lt;PlanDate,"Past due",IF(INT($B376)=PlanDate,"Due today",IF(AND(INDEX(Buffers!$L:$L,MATCH($H376,Buffers!$AE:$AE,0))="Planned",$E376&gt;0,INT($B376)&lt;=PlanDate+ROUNDUP(IF(ISNUMBER(SpikeHorizon),SpikeHorizon,INDEX(Buffers!$D:$D,MATCH($H376,Buffers!$AE:$AE,0))),0),$E376&gt;=SpikePct*INDEX(Buffers!$P:$P,MATCH($H376,Buffers!$AE:$AE,0))),"Spike","Not qualified"))))))</f>
        <v/>
      </c>
      <c r="G376" s="8" t="str">
        <f aca="false">IF($A376="","",IF(OR($F376="Past due",$F376="Due today",$F376="Spike"),$C376,0))</f>
        <v/>
      </c>
      <c r="H376" s="8" t="str">
        <f aca="false">IF($A376="","",SUBSTITUTE(SUBSTITUTE(SUBSTITUTE($A376&amp;"","~","~~"),"*","~*"),"?","~?"))</f>
        <v/>
      </c>
    </row>
    <row r="377" customFormat="false" ht="15" hidden="false" customHeight="false" outlineLevel="0" collapsed="false">
      <c r="A377" s="11"/>
      <c r="B377" s="6"/>
      <c r="C377" s="11"/>
      <c r="D377" s="11"/>
      <c r="E377" s="8" t="str">
        <f aca="false">IF($A377="","",SUMIFS($C:$C,$A:$A,$H377,$B:$B,"&gt;="&amp;INT($B377),$B:$B,"&lt;"&amp;(INT($B377)+1)))</f>
        <v/>
      </c>
      <c r="F377" s="19" t="str">
        <f aca="false">IF($A377="","",IF(ISNA(MATCH($H377,Buffers!$AE:$AE,0)),"Not on Buffers",IF(NOT(ISNUMBER($B377)),"Needs a date",IF(INT($B377)&lt;PlanDate,"Past due",IF(INT($B377)=PlanDate,"Due today",IF(AND(INDEX(Buffers!$L:$L,MATCH($H377,Buffers!$AE:$AE,0))="Planned",$E377&gt;0,INT($B377)&lt;=PlanDate+ROUNDUP(IF(ISNUMBER(SpikeHorizon),SpikeHorizon,INDEX(Buffers!$D:$D,MATCH($H377,Buffers!$AE:$AE,0))),0),$E377&gt;=SpikePct*INDEX(Buffers!$P:$P,MATCH($H377,Buffers!$AE:$AE,0))),"Spike","Not qualified"))))))</f>
        <v/>
      </c>
      <c r="G377" s="8" t="str">
        <f aca="false">IF($A377="","",IF(OR($F377="Past due",$F377="Due today",$F377="Spike"),$C377,0))</f>
        <v/>
      </c>
      <c r="H377" s="8" t="str">
        <f aca="false">IF($A377="","",SUBSTITUTE(SUBSTITUTE(SUBSTITUTE($A377&amp;"","~","~~"),"*","~*"),"?","~?"))</f>
        <v/>
      </c>
    </row>
    <row r="378" customFormat="false" ht="15" hidden="false" customHeight="false" outlineLevel="0" collapsed="false">
      <c r="A378" s="11"/>
      <c r="B378" s="6"/>
      <c r="C378" s="11"/>
      <c r="D378" s="11"/>
      <c r="E378" s="8" t="str">
        <f aca="false">IF($A378="","",SUMIFS($C:$C,$A:$A,$H378,$B:$B,"&gt;="&amp;INT($B378),$B:$B,"&lt;"&amp;(INT($B378)+1)))</f>
        <v/>
      </c>
      <c r="F378" s="19" t="str">
        <f aca="false">IF($A378="","",IF(ISNA(MATCH($H378,Buffers!$AE:$AE,0)),"Not on Buffers",IF(NOT(ISNUMBER($B378)),"Needs a date",IF(INT($B378)&lt;PlanDate,"Past due",IF(INT($B378)=PlanDate,"Due today",IF(AND(INDEX(Buffers!$L:$L,MATCH($H378,Buffers!$AE:$AE,0))="Planned",$E378&gt;0,INT($B378)&lt;=PlanDate+ROUNDUP(IF(ISNUMBER(SpikeHorizon),SpikeHorizon,INDEX(Buffers!$D:$D,MATCH($H378,Buffers!$AE:$AE,0))),0),$E378&gt;=SpikePct*INDEX(Buffers!$P:$P,MATCH($H378,Buffers!$AE:$AE,0))),"Spike","Not qualified"))))))</f>
        <v/>
      </c>
      <c r="G378" s="8" t="str">
        <f aca="false">IF($A378="","",IF(OR($F378="Past due",$F378="Due today",$F378="Spike"),$C378,0))</f>
        <v/>
      </c>
      <c r="H378" s="8" t="str">
        <f aca="false">IF($A378="","",SUBSTITUTE(SUBSTITUTE(SUBSTITUTE($A378&amp;"","~","~~"),"*","~*"),"?","~?"))</f>
        <v/>
      </c>
    </row>
    <row r="379" customFormat="false" ht="15" hidden="false" customHeight="false" outlineLevel="0" collapsed="false">
      <c r="A379" s="11"/>
      <c r="B379" s="6"/>
      <c r="C379" s="11"/>
      <c r="D379" s="11"/>
      <c r="E379" s="8" t="str">
        <f aca="false">IF($A379="","",SUMIFS($C:$C,$A:$A,$H379,$B:$B,"&gt;="&amp;INT($B379),$B:$B,"&lt;"&amp;(INT($B379)+1)))</f>
        <v/>
      </c>
      <c r="F379" s="19" t="str">
        <f aca="false">IF($A379="","",IF(ISNA(MATCH($H379,Buffers!$AE:$AE,0)),"Not on Buffers",IF(NOT(ISNUMBER($B379)),"Needs a date",IF(INT($B379)&lt;PlanDate,"Past due",IF(INT($B379)=PlanDate,"Due today",IF(AND(INDEX(Buffers!$L:$L,MATCH($H379,Buffers!$AE:$AE,0))="Planned",$E379&gt;0,INT($B379)&lt;=PlanDate+ROUNDUP(IF(ISNUMBER(SpikeHorizon),SpikeHorizon,INDEX(Buffers!$D:$D,MATCH($H379,Buffers!$AE:$AE,0))),0),$E379&gt;=SpikePct*INDEX(Buffers!$P:$P,MATCH($H379,Buffers!$AE:$AE,0))),"Spike","Not qualified"))))))</f>
        <v/>
      </c>
      <c r="G379" s="8" t="str">
        <f aca="false">IF($A379="","",IF(OR($F379="Past due",$F379="Due today",$F379="Spike"),$C379,0))</f>
        <v/>
      </c>
      <c r="H379" s="8" t="str">
        <f aca="false">IF($A379="","",SUBSTITUTE(SUBSTITUTE(SUBSTITUTE($A379&amp;"","~","~~"),"*","~*"),"?","~?"))</f>
        <v/>
      </c>
    </row>
    <row r="380" customFormat="false" ht="15" hidden="false" customHeight="false" outlineLevel="0" collapsed="false">
      <c r="A380" s="11"/>
      <c r="B380" s="6"/>
      <c r="C380" s="11"/>
      <c r="D380" s="11"/>
      <c r="E380" s="8" t="str">
        <f aca="false">IF($A380="","",SUMIFS($C:$C,$A:$A,$H380,$B:$B,"&gt;="&amp;INT($B380),$B:$B,"&lt;"&amp;(INT($B380)+1)))</f>
        <v/>
      </c>
      <c r="F380" s="19" t="str">
        <f aca="false">IF($A380="","",IF(ISNA(MATCH($H380,Buffers!$AE:$AE,0)),"Not on Buffers",IF(NOT(ISNUMBER($B380)),"Needs a date",IF(INT($B380)&lt;PlanDate,"Past due",IF(INT($B380)=PlanDate,"Due today",IF(AND(INDEX(Buffers!$L:$L,MATCH($H380,Buffers!$AE:$AE,0))="Planned",$E380&gt;0,INT($B380)&lt;=PlanDate+ROUNDUP(IF(ISNUMBER(SpikeHorizon),SpikeHorizon,INDEX(Buffers!$D:$D,MATCH($H380,Buffers!$AE:$AE,0))),0),$E380&gt;=SpikePct*INDEX(Buffers!$P:$P,MATCH($H380,Buffers!$AE:$AE,0))),"Spike","Not qualified"))))))</f>
        <v/>
      </c>
      <c r="G380" s="8" t="str">
        <f aca="false">IF($A380="","",IF(OR($F380="Past due",$F380="Due today",$F380="Spike"),$C380,0))</f>
        <v/>
      </c>
      <c r="H380" s="8" t="str">
        <f aca="false">IF($A380="","",SUBSTITUTE(SUBSTITUTE(SUBSTITUTE($A380&amp;"","~","~~"),"*","~*"),"?","~?"))</f>
        <v/>
      </c>
    </row>
    <row r="381" customFormat="false" ht="15" hidden="false" customHeight="false" outlineLevel="0" collapsed="false">
      <c r="A381" s="11"/>
      <c r="B381" s="6"/>
      <c r="C381" s="11"/>
      <c r="D381" s="11"/>
      <c r="E381" s="8" t="str">
        <f aca="false">IF($A381="","",SUMIFS($C:$C,$A:$A,$H381,$B:$B,"&gt;="&amp;INT($B381),$B:$B,"&lt;"&amp;(INT($B381)+1)))</f>
        <v/>
      </c>
      <c r="F381" s="19" t="str">
        <f aca="false">IF($A381="","",IF(ISNA(MATCH($H381,Buffers!$AE:$AE,0)),"Not on Buffers",IF(NOT(ISNUMBER($B381)),"Needs a date",IF(INT($B381)&lt;PlanDate,"Past due",IF(INT($B381)=PlanDate,"Due today",IF(AND(INDEX(Buffers!$L:$L,MATCH($H381,Buffers!$AE:$AE,0))="Planned",$E381&gt;0,INT($B381)&lt;=PlanDate+ROUNDUP(IF(ISNUMBER(SpikeHorizon),SpikeHorizon,INDEX(Buffers!$D:$D,MATCH($H381,Buffers!$AE:$AE,0))),0),$E381&gt;=SpikePct*INDEX(Buffers!$P:$P,MATCH($H381,Buffers!$AE:$AE,0))),"Spike","Not qualified"))))))</f>
        <v/>
      </c>
      <c r="G381" s="8" t="str">
        <f aca="false">IF($A381="","",IF(OR($F381="Past due",$F381="Due today",$F381="Spike"),$C381,0))</f>
        <v/>
      </c>
      <c r="H381" s="8" t="str">
        <f aca="false">IF($A381="","",SUBSTITUTE(SUBSTITUTE(SUBSTITUTE($A381&amp;"","~","~~"),"*","~*"),"?","~?"))</f>
        <v/>
      </c>
    </row>
    <row r="382" customFormat="false" ht="15" hidden="false" customHeight="false" outlineLevel="0" collapsed="false">
      <c r="A382" s="11"/>
      <c r="B382" s="6"/>
      <c r="C382" s="11"/>
      <c r="D382" s="11"/>
      <c r="E382" s="8" t="str">
        <f aca="false">IF($A382="","",SUMIFS($C:$C,$A:$A,$H382,$B:$B,"&gt;="&amp;INT($B382),$B:$B,"&lt;"&amp;(INT($B382)+1)))</f>
        <v/>
      </c>
      <c r="F382" s="19" t="str">
        <f aca="false">IF($A382="","",IF(ISNA(MATCH($H382,Buffers!$AE:$AE,0)),"Not on Buffers",IF(NOT(ISNUMBER($B382)),"Needs a date",IF(INT($B382)&lt;PlanDate,"Past due",IF(INT($B382)=PlanDate,"Due today",IF(AND(INDEX(Buffers!$L:$L,MATCH($H382,Buffers!$AE:$AE,0))="Planned",$E382&gt;0,INT($B382)&lt;=PlanDate+ROUNDUP(IF(ISNUMBER(SpikeHorizon),SpikeHorizon,INDEX(Buffers!$D:$D,MATCH($H382,Buffers!$AE:$AE,0))),0),$E382&gt;=SpikePct*INDEX(Buffers!$P:$P,MATCH($H382,Buffers!$AE:$AE,0))),"Spike","Not qualified"))))))</f>
        <v/>
      </c>
      <c r="G382" s="8" t="str">
        <f aca="false">IF($A382="","",IF(OR($F382="Past due",$F382="Due today",$F382="Spike"),$C382,0))</f>
        <v/>
      </c>
      <c r="H382" s="8" t="str">
        <f aca="false">IF($A382="","",SUBSTITUTE(SUBSTITUTE(SUBSTITUTE($A382&amp;"","~","~~"),"*","~*"),"?","~?"))</f>
        <v/>
      </c>
    </row>
    <row r="383" customFormat="false" ht="15" hidden="false" customHeight="false" outlineLevel="0" collapsed="false">
      <c r="A383" s="11"/>
      <c r="B383" s="6"/>
      <c r="C383" s="11"/>
      <c r="D383" s="11"/>
      <c r="E383" s="8" t="str">
        <f aca="false">IF($A383="","",SUMIFS($C:$C,$A:$A,$H383,$B:$B,"&gt;="&amp;INT($B383),$B:$B,"&lt;"&amp;(INT($B383)+1)))</f>
        <v/>
      </c>
      <c r="F383" s="19" t="str">
        <f aca="false">IF($A383="","",IF(ISNA(MATCH($H383,Buffers!$AE:$AE,0)),"Not on Buffers",IF(NOT(ISNUMBER($B383)),"Needs a date",IF(INT($B383)&lt;PlanDate,"Past due",IF(INT($B383)=PlanDate,"Due today",IF(AND(INDEX(Buffers!$L:$L,MATCH($H383,Buffers!$AE:$AE,0))="Planned",$E383&gt;0,INT($B383)&lt;=PlanDate+ROUNDUP(IF(ISNUMBER(SpikeHorizon),SpikeHorizon,INDEX(Buffers!$D:$D,MATCH($H383,Buffers!$AE:$AE,0))),0),$E383&gt;=SpikePct*INDEX(Buffers!$P:$P,MATCH($H383,Buffers!$AE:$AE,0))),"Spike","Not qualified"))))))</f>
        <v/>
      </c>
      <c r="G383" s="8" t="str">
        <f aca="false">IF($A383="","",IF(OR($F383="Past due",$F383="Due today",$F383="Spike"),$C383,0))</f>
        <v/>
      </c>
      <c r="H383" s="8" t="str">
        <f aca="false">IF($A383="","",SUBSTITUTE(SUBSTITUTE(SUBSTITUTE($A383&amp;"","~","~~"),"*","~*"),"?","~?"))</f>
        <v/>
      </c>
    </row>
    <row r="384" customFormat="false" ht="15" hidden="false" customHeight="false" outlineLevel="0" collapsed="false">
      <c r="A384" s="11"/>
      <c r="B384" s="6"/>
      <c r="C384" s="11"/>
      <c r="D384" s="11"/>
      <c r="E384" s="8" t="str">
        <f aca="false">IF($A384="","",SUMIFS($C:$C,$A:$A,$H384,$B:$B,"&gt;="&amp;INT($B384),$B:$B,"&lt;"&amp;(INT($B384)+1)))</f>
        <v/>
      </c>
      <c r="F384" s="19" t="str">
        <f aca="false">IF($A384="","",IF(ISNA(MATCH($H384,Buffers!$AE:$AE,0)),"Not on Buffers",IF(NOT(ISNUMBER($B384)),"Needs a date",IF(INT($B384)&lt;PlanDate,"Past due",IF(INT($B384)=PlanDate,"Due today",IF(AND(INDEX(Buffers!$L:$L,MATCH($H384,Buffers!$AE:$AE,0))="Planned",$E384&gt;0,INT($B384)&lt;=PlanDate+ROUNDUP(IF(ISNUMBER(SpikeHorizon),SpikeHorizon,INDEX(Buffers!$D:$D,MATCH($H384,Buffers!$AE:$AE,0))),0),$E384&gt;=SpikePct*INDEX(Buffers!$P:$P,MATCH($H384,Buffers!$AE:$AE,0))),"Spike","Not qualified"))))))</f>
        <v/>
      </c>
      <c r="G384" s="8" t="str">
        <f aca="false">IF($A384="","",IF(OR($F384="Past due",$F384="Due today",$F384="Spike"),$C384,0))</f>
        <v/>
      </c>
      <c r="H384" s="8" t="str">
        <f aca="false">IF($A384="","",SUBSTITUTE(SUBSTITUTE(SUBSTITUTE($A384&amp;"","~","~~"),"*","~*"),"?","~?"))</f>
        <v/>
      </c>
    </row>
    <row r="385" customFormat="false" ht="15" hidden="false" customHeight="false" outlineLevel="0" collapsed="false">
      <c r="A385" s="11"/>
      <c r="B385" s="6"/>
      <c r="C385" s="11"/>
      <c r="D385" s="11"/>
      <c r="E385" s="8" t="str">
        <f aca="false">IF($A385="","",SUMIFS($C:$C,$A:$A,$H385,$B:$B,"&gt;="&amp;INT($B385),$B:$B,"&lt;"&amp;(INT($B385)+1)))</f>
        <v/>
      </c>
      <c r="F385" s="19" t="str">
        <f aca="false">IF($A385="","",IF(ISNA(MATCH($H385,Buffers!$AE:$AE,0)),"Not on Buffers",IF(NOT(ISNUMBER($B385)),"Needs a date",IF(INT($B385)&lt;PlanDate,"Past due",IF(INT($B385)=PlanDate,"Due today",IF(AND(INDEX(Buffers!$L:$L,MATCH($H385,Buffers!$AE:$AE,0))="Planned",$E385&gt;0,INT($B385)&lt;=PlanDate+ROUNDUP(IF(ISNUMBER(SpikeHorizon),SpikeHorizon,INDEX(Buffers!$D:$D,MATCH($H385,Buffers!$AE:$AE,0))),0),$E385&gt;=SpikePct*INDEX(Buffers!$P:$P,MATCH($H385,Buffers!$AE:$AE,0))),"Spike","Not qualified"))))))</f>
        <v/>
      </c>
      <c r="G385" s="8" t="str">
        <f aca="false">IF($A385="","",IF(OR($F385="Past due",$F385="Due today",$F385="Spike"),$C385,0))</f>
        <v/>
      </c>
      <c r="H385" s="8" t="str">
        <f aca="false">IF($A385="","",SUBSTITUTE(SUBSTITUTE(SUBSTITUTE($A385&amp;"","~","~~"),"*","~*"),"?","~?"))</f>
        <v/>
      </c>
    </row>
    <row r="386" customFormat="false" ht="15" hidden="false" customHeight="false" outlineLevel="0" collapsed="false">
      <c r="A386" s="11"/>
      <c r="B386" s="6"/>
      <c r="C386" s="11"/>
      <c r="D386" s="11"/>
      <c r="E386" s="8" t="str">
        <f aca="false">IF($A386="","",SUMIFS($C:$C,$A:$A,$H386,$B:$B,"&gt;="&amp;INT($B386),$B:$B,"&lt;"&amp;(INT($B386)+1)))</f>
        <v/>
      </c>
      <c r="F386" s="19" t="str">
        <f aca="false">IF($A386="","",IF(ISNA(MATCH($H386,Buffers!$AE:$AE,0)),"Not on Buffers",IF(NOT(ISNUMBER($B386)),"Needs a date",IF(INT($B386)&lt;PlanDate,"Past due",IF(INT($B386)=PlanDate,"Due today",IF(AND(INDEX(Buffers!$L:$L,MATCH($H386,Buffers!$AE:$AE,0))="Planned",$E386&gt;0,INT($B386)&lt;=PlanDate+ROUNDUP(IF(ISNUMBER(SpikeHorizon),SpikeHorizon,INDEX(Buffers!$D:$D,MATCH($H386,Buffers!$AE:$AE,0))),0),$E386&gt;=SpikePct*INDEX(Buffers!$P:$P,MATCH($H386,Buffers!$AE:$AE,0))),"Spike","Not qualified"))))))</f>
        <v/>
      </c>
      <c r="G386" s="8" t="str">
        <f aca="false">IF($A386="","",IF(OR($F386="Past due",$F386="Due today",$F386="Spike"),$C386,0))</f>
        <v/>
      </c>
      <c r="H386" s="8" t="str">
        <f aca="false">IF($A386="","",SUBSTITUTE(SUBSTITUTE(SUBSTITUTE($A386&amp;"","~","~~"),"*","~*"),"?","~?"))</f>
        <v/>
      </c>
    </row>
    <row r="387" customFormat="false" ht="15" hidden="false" customHeight="false" outlineLevel="0" collapsed="false">
      <c r="A387" s="11"/>
      <c r="B387" s="6"/>
      <c r="C387" s="11"/>
      <c r="D387" s="11"/>
      <c r="E387" s="8" t="str">
        <f aca="false">IF($A387="","",SUMIFS($C:$C,$A:$A,$H387,$B:$B,"&gt;="&amp;INT($B387),$B:$B,"&lt;"&amp;(INT($B387)+1)))</f>
        <v/>
      </c>
      <c r="F387" s="19" t="str">
        <f aca="false">IF($A387="","",IF(ISNA(MATCH($H387,Buffers!$AE:$AE,0)),"Not on Buffers",IF(NOT(ISNUMBER($B387)),"Needs a date",IF(INT($B387)&lt;PlanDate,"Past due",IF(INT($B387)=PlanDate,"Due today",IF(AND(INDEX(Buffers!$L:$L,MATCH($H387,Buffers!$AE:$AE,0))="Planned",$E387&gt;0,INT($B387)&lt;=PlanDate+ROUNDUP(IF(ISNUMBER(SpikeHorizon),SpikeHorizon,INDEX(Buffers!$D:$D,MATCH($H387,Buffers!$AE:$AE,0))),0),$E387&gt;=SpikePct*INDEX(Buffers!$P:$P,MATCH($H387,Buffers!$AE:$AE,0))),"Spike","Not qualified"))))))</f>
        <v/>
      </c>
      <c r="G387" s="8" t="str">
        <f aca="false">IF($A387="","",IF(OR($F387="Past due",$F387="Due today",$F387="Spike"),$C387,0))</f>
        <v/>
      </c>
      <c r="H387" s="8" t="str">
        <f aca="false">IF($A387="","",SUBSTITUTE(SUBSTITUTE(SUBSTITUTE($A387&amp;"","~","~~"),"*","~*"),"?","~?"))</f>
        <v/>
      </c>
    </row>
    <row r="388" customFormat="false" ht="15" hidden="false" customHeight="false" outlineLevel="0" collapsed="false">
      <c r="A388" s="11"/>
      <c r="B388" s="6"/>
      <c r="C388" s="11"/>
      <c r="D388" s="11"/>
      <c r="E388" s="8" t="str">
        <f aca="false">IF($A388="","",SUMIFS($C:$C,$A:$A,$H388,$B:$B,"&gt;="&amp;INT($B388),$B:$B,"&lt;"&amp;(INT($B388)+1)))</f>
        <v/>
      </c>
      <c r="F388" s="19" t="str">
        <f aca="false">IF($A388="","",IF(ISNA(MATCH($H388,Buffers!$AE:$AE,0)),"Not on Buffers",IF(NOT(ISNUMBER($B388)),"Needs a date",IF(INT($B388)&lt;PlanDate,"Past due",IF(INT($B388)=PlanDate,"Due today",IF(AND(INDEX(Buffers!$L:$L,MATCH($H388,Buffers!$AE:$AE,0))="Planned",$E388&gt;0,INT($B388)&lt;=PlanDate+ROUNDUP(IF(ISNUMBER(SpikeHorizon),SpikeHorizon,INDEX(Buffers!$D:$D,MATCH($H388,Buffers!$AE:$AE,0))),0),$E388&gt;=SpikePct*INDEX(Buffers!$P:$P,MATCH($H388,Buffers!$AE:$AE,0))),"Spike","Not qualified"))))))</f>
        <v/>
      </c>
      <c r="G388" s="8" t="str">
        <f aca="false">IF($A388="","",IF(OR($F388="Past due",$F388="Due today",$F388="Spike"),$C388,0))</f>
        <v/>
      </c>
      <c r="H388" s="8" t="str">
        <f aca="false">IF($A388="","",SUBSTITUTE(SUBSTITUTE(SUBSTITUTE($A388&amp;"","~","~~"),"*","~*"),"?","~?"))</f>
        <v/>
      </c>
    </row>
    <row r="389" customFormat="false" ht="15" hidden="false" customHeight="false" outlineLevel="0" collapsed="false">
      <c r="A389" s="11"/>
      <c r="B389" s="6"/>
      <c r="C389" s="11"/>
      <c r="D389" s="11"/>
      <c r="E389" s="8" t="str">
        <f aca="false">IF($A389="","",SUMIFS($C:$C,$A:$A,$H389,$B:$B,"&gt;="&amp;INT($B389),$B:$B,"&lt;"&amp;(INT($B389)+1)))</f>
        <v/>
      </c>
      <c r="F389" s="19" t="str">
        <f aca="false">IF($A389="","",IF(ISNA(MATCH($H389,Buffers!$AE:$AE,0)),"Not on Buffers",IF(NOT(ISNUMBER($B389)),"Needs a date",IF(INT($B389)&lt;PlanDate,"Past due",IF(INT($B389)=PlanDate,"Due today",IF(AND(INDEX(Buffers!$L:$L,MATCH($H389,Buffers!$AE:$AE,0))="Planned",$E389&gt;0,INT($B389)&lt;=PlanDate+ROUNDUP(IF(ISNUMBER(SpikeHorizon),SpikeHorizon,INDEX(Buffers!$D:$D,MATCH($H389,Buffers!$AE:$AE,0))),0),$E389&gt;=SpikePct*INDEX(Buffers!$P:$P,MATCH($H389,Buffers!$AE:$AE,0))),"Spike","Not qualified"))))))</f>
        <v/>
      </c>
      <c r="G389" s="8" t="str">
        <f aca="false">IF($A389="","",IF(OR($F389="Past due",$F389="Due today",$F389="Spike"),$C389,0))</f>
        <v/>
      </c>
      <c r="H389" s="8" t="str">
        <f aca="false">IF($A389="","",SUBSTITUTE(SUBSTITUTE(SUBSTITUTE($A389&amp;"","~","~~"),"*","~*"),"?","~?"))</f>
        <v/>
      </c>
    </row>
    <row r="390" customFormat="false" ht="15" hidden="false" customHeight="false" outlineLevel="0" collapsed="false">
      <c r="A390" s="11"/>
      <c r="B390" s="6"/>
      <c r="C390" s="11"/>
      <c r="D390" s="11"/>
      <c r="E390" s="8" t="str">
        <f aca="false">IF($A390="","",SUMIFS($C:$C,$A:$A,$H390,$B:$B,"&gt;="&amp;INT($B390),$B:$B,"&lt;"&amp;(INT($B390)+1)))</f>
        <v/>
      </c>
      <c r="F390" s="19" t="str">
        <f aca="false">IF($A390="","",IF(ISNA(MATCH($H390,Buffers!$AE:$AE,0)),"Not on Buffers",IF(NOT(ISNUMBER($B390)),"Needs a date",IF(INT($B390)&lt;PlanDate,"Past due",IF(INT($B390)=PlanDate,"Due today",IF(AND(INDEX(Buffers!$L:$L,MATCH($H390,Buffers!$AE:$AE,0))="Planned",$E390&gt;0,INT($B390)&lt;=PlanDate+ROUNDUP(IF(ISNUMBER(SpikeHorizon),SpikeHorizon,INDEX(Buffers!$D:$D,MATCH($H390,Buffers!$AE:$AE,0))),0),$E390&gt;=SpikePct*INDEX(Buffers!$P:$P,MATCH($H390,Buffers!$AE:$AE,0))),"Spike","Not qualified"))))))</f>
        <v/>
      </c>
      <c r="G390" s="8" t="str">
        <f aca="false">IF($A390="","",IF(OR($F390="Past due",$F390="Due today",$F390="Spike"),$C390,0))</f>
        <v/>
      </c>
      <c r="H390" s="8" t="str">
        <f aca="false">IF($A390="","",SUBSTITUTE(SUBSTITUTE(SUBSTITUTE($A390&amp;"","~","~~"),"*","~*"),"?","~?"))</f>
        <v/>
      </c>
    </row>
    <row r="391" customFormat="false" ht="15" hidden="false" customHeight="false" outlineLevel="0" collapsed="false">
      <c r="A391" s="11"/>
      <c r="B391" s="6"/>
      <c r="C391" s="11"/>
      <c r="D391" s="11"/>
      <c r="E391" s="8" t="str">
        <f aca="false">IF($A391="","",SUMIFS($C:$C,$A:$A,$H391,$B:$B,"&gt;="&amp;INT($B391),$B:$B,"&lt;"&amp;(INT($B391)+1)))</f>
        <v/>
      </c>
      <c r="F391" s="19" t="str">
        <f aca="false">IF($A391="","",IF(ISNA(MATCH($H391,Buffers!$AE:$AE,0)),"Not on Buffers",IF(NOT(ISNUMBER($B391)),"Needs a date",IF(INT($B391)&lt;PlanDate,"Past due",IF(INT($B391)=PlanDate,"Due today",IF(AND(INDEX(Buffers!$L:$L,MATCH($H391,Buffers!$AE:$AE,0))="Planned",$E391&gt;0,INT($B391)&lt;=PlanDate+ROUNDUP(IF(ISNUMBER(SpikeHorizon),SpikeHorizon,INDEX(Buffers!$D:$D,MATCH($H391,Buffers!$AE:$AE,0))),0),$E391&gt;=SpikePct*INDEX(Buffers!$P:$P,MATCH($H391,Buffers!$AE:$AE,0))),"Spike","Not qualified"))))))</f>
        <v/>
      </c>
      <c r="G391" s="8" t="str">
        <f aca="false">IF($A391="","",IF(OR($F391="Past due",$F391="Due today",$F391="Spike"),$C391,0))</f>
        <v/>
      </c>
      <c r="H391" s="8" t="str">
        <f aca="false">IF($A391="","",SUBSTITUTE(SUBSTITUTE(SUBSTITUTE($A391&amp;"","~","~~"),"*","~*"),"?","~?"))</f>
        <v/>
      </c>
    </row>
    <row r="392" customFormat="false" ht="15" hidden="false" customHeight="false" outlineLevel="0" collapsed="false">
      <c r="A392" s="11"/>
      <c r="B392" s="6"/>
      <c r="C392" s="11"/>
      <c r="D392" s="11"/>
      <c r="E392" s="8" t="str">
        <f aca="false">IF($A392="","",SUMIFS($C:$C,$A:$A,$H392,$B:$B,"&gt;="&amp;INT($B392),$B:$B,"&lt;"&amp;(INT($B392)+1)))</f>
        <v/>
      </c>
      <c r="F392" s="19" t="str">
        <f aca="false">IF($A392="","",IF(ISNA(MATCH($H392,Buffers!$AE:$AE,0)),"Not on Buffers",IF(NOT(ISNUMBER($B392)),"Needs a date",IF(INT($B392)&lt;PlanDate,"Past due",IF(INT($B392)=PlanDate,"Due today",IF(AND(INDEX(Buffers!$L:$L,MATCH($H392,Buffers!$AE:$AE,0))="Planned",$E392&gt;0,INT($B392)&lt;=PlanDate+ROUNDUP(IF(ISNUMBER(SpikeHorizon),SpikeHorizon,INDEX(Buffers!$D:$D,MATCH($H392,Buffers!$AE:$AE,0))),0),$E392&gt;=SpikePct*INDEX(Buffers!$P:$P,MATCH($H392,Buffers!$AE:$AE,0))),"Spike","Not qualified"))))))</f>
        <v/>
      </c>
      <c r="G392" s="8" t="str">
        <f aca="false">IF($A392="","",IF(OR($F392="Past due",$F392="Due today",$F392="Spike"),$C392,0))</f>
        <v/>
      </c>
      <c r="H392" s="8" t="str">
        <f aca="false">IF($A392="","",SUBSTITUTE(SUBSTITUTE(SUBSTITUTE($A392&amp;"","~","~~"),"*","~*"),"?","~?"))</f>
        <v/>
      </c>
    </row>
    <row r="393" customFormat="false" ht="15" hidden="false" customHeight="false" outlineLevel="0" collapsed="false">
      <c r="A393" s="11"/>
      <c r="B393" s="6"/>
      <c r="C393" s="11"/>
      <c r="D393" s="11"/>
      <c r="E393" s="8" t="str">
        <f aca="false">IF($A393="","",SUMIFS($C:$C,$A:$A,$H393,$B:$B,"&gt;="&amp;INT($B393),$B:$B,"&lt;"&amp;(INT($B393)+1)))</f>
        <v/>
      </c>
      <c r="F393" s="19" t="str">
        <f aca="false">IF($A393="","",IF(ISNA(MATCH($H393,Buffers!$AE:$AE,0)),"Not on Buffers",IF(NOT(ISNUMBER($B393)),"Needs a date",IF(INT($B393)&lt;PlanDate,"Past due",IF(INT($B393)=PlanDate,"Due today",IF(AND(INDEX(Buffers!$L:$L,MATCH($H393,Buffers!$AE:$AE,0))="Planned",$E393&gt;0,INT($B393)&lt;=PlanDate+ROUNDUP(IF(ISNUMBER(SpikeHorizon),SpikeHorizon,INDEX(Buffers!$D:$D,MATCH($H393,Buffers!$AE:$AE,0))),0),$E393&gt;=SpikePct*INDEX(Buffers!$P:$P,MATCH($H393,Buffers!$AE:$AE,0))),"Spike","Not qualified"))))))</f>
        <v/>
      </c>
      <c r="G393" s="8" t="str">
        <f aca="false">IF($A393="","",IF(OR($F393="Past due",$F393="Due today",$F393="Spike"),$C393,0))</f>
        <v/>
      </c>
      <c r="H393" s="8" t="str">
        <f aca="false">IF($A393="","",SUBSTITUTE(SUBSTITUTE(SUBSTITUTE($A393&amp;"","~","~~"),"*","~*"),"?","~?"))</f>
        <v/>
      </c>
    </row>
    <row r="394" customFormat="false" ht="15" hidden="false" customHeight="false" outlineLevel="0" collapsed="false">
      <c r="A394" s="11"/>
      <c r="B394" s="6"/>
      <c r="C394" s="11"/>
      <c r="D394" s="11"/>
      <c r="E394" s="8" t="str">
        <f aca="false">IF($A394="","",SUMIFS($C:$C,$A:$A,$H394,$B:$B,"&gt;="&amp;INT($B394),$B:$B,"&lt;"&amp;(INT($B394)+1)))</f>
        <v/>
      </c>
      <c r="F394" s="19" t="str">
        <f aca="false">IF($A394="","",IF(ISNA(MATCH($H394,Buffers!$AE:$AE,0)),"Not on Buffers",IF(NOT(ISNUMBER($B394)),"Needs a date",IF(INT($B394)&lt;PlanDate,"Past due",IF(INT($B394)=PlanDate,"Due today",IF(AND(INDEX(Buffers!$L:$L,MATCH($H394,Buffers!$AE:$AE,0))="Planned",$E394&gt;0,INT($B394)&lt;=PlanDate+ROUNDUP(IF(ISNUMBER(SpikeHorizon),SpikeHorizon,INDEX(Buffers!$D:$D,MATCH($H394,Buffers!$AE:$AE,0))),0),$E394&gt;=SpikePct*INDEX(Buffers!$P:$P,MATCH($H394,Buffers!$AE:$AE,0))),"Spike","Not qualified"))))))</f>
        <v/>
      </c>
      <c r="G394" s="8" t="str">
        <f aca="false">IF($A394="","",IF(OR($F394="Past due",$F394="Due today",$F394="Spike"),$C394,0))</f>
        <v/>
      </c>
      <c r="H394" s="8" t="str">
        <f aca="false">IF($A394="","",SUBSTITUTE(SUBSTITUTE(SUBSTITUTE($A394&amp;"","~","~~"),"*","~*"),"?","~?"))</f>
        <v/>
      </c>
    </row>
    <row r="395" customFormat="false" ht="15" hidden="false" customHeight="false" outlineLevel="0" collapsed="false">
      <c r="A395" s="11"/>
      <c r="B395" s="6"/>
      <c r="C395" s="11"/>
      <c r="D395" s="11"/>
      <c r="E395" s="8" t="str">
        <f aca="false">IF($A395="","",SUMIFS($C:$C,$A:$A,$H395,$B:$B,"&gt;="&amp;INT($B395),$B:$B,"&lt;"&amp;(INT($B395)+1)))</f>
        <v/>
      </c>
      <c r="F395" s="19" t="str">
        <f aca="false">IF($A395="","",IF(ISNA(MATCH($H395,Buffers!$AE:$AE,0)),"Not on Buffers",IF(NOT(ISNUMBER($B395)),"Needs a date",IF(INT($B395)&lt;PlanDate,"Past due",IF(INT($B395)=PlanDate,"Due today",IF(AND(INDEX(Buffers!$L:$L,MATCH($H395,Buffers!$AE:$AE,0))="Planned",$E395&gt;0,INT($B395)&lt;=PlanDate+ROUNDUP(IF(ISNUMBER(SpikeHorizon),SpikeHorizon,INDEX(Buffers!$D:$D,MATCH($H395,Buffers!$AE:$AE,0))),0),$E395&gt;=SpikePct*INDEX(Buffers!$P:$P,MATCH($H395,Buffers!$AE:$AE,0))),"Spike","Not qualified"))))))</f>
        <v/>
      </c>
      <c r="G395" s="8" t="str">
        <f aca="false">IF($A395="","",IF(OR($F395="Past due",$F395="Due today",$F395="Spike"),$C395,0))</f>
        <v/>
      </c>
      <c r="H395" s="8" t="str">
        <f aca="false">IF($A395="","",SUBSTITUTE(SUBSTITUTE(SUBSTITUTE($A395&amp;"","~","~~"),"*","~*"),"?","~?"))</f>
        <v/>
      </c>
    </row>
    <row r="396" customFormat="false" ht="15" hidden="false" customHeight="false" outlineLevel="0" collapsed="false">
      <c r="A396" s="11"/>
      <c r="B396" s="6"/>
      <c r="C396" s="11"/>
      <c r="D396" s="11"/>
      <c r="E396" s="8" t="str">
        <f aca="false">IF($A396="","",SUMIFS($C:$C,$A:$A,$H396,$B:$B,"&gt;="&amp;INT($B396),$B:$B,"&lt;"&amp;(INT($B396)+1)))</f>
        <v/>
      </c>
      <c r="F396" s="19" t="str">
        <f aca="false">IF($A396="","",IF(ISNA(MATCH($H396,Buffers!$AE:$AE,0)),"Not on Buffers",IF(NOT(ISNUMBER($B396)),"Needs a date",IF(INT($B396)&lt;PlanDate,"Past due",IF(INT($B396)=PlanDate,"Due today",IF(AND(INDEX(Buffers!$L:$L,MATCH($H396,Buffers!$AE:$AE,0))="Planned",$E396&gt;0,INT($B396)&lt;=PlanDate+ROUNDUP(IF(ISNUMBER(SpikeHorizon),SpikeHorizon,INDEX(Buffers!$D:$D,MATCH($H396,Buffers!$AE:$AE,0))),0),$E396&gt;=SpikePct*INDEX(Buffers!$P:$P,MATCH($H396,Buffers!$AE:$AE,0))),"Spike","Not qualified"))))))</f>
        <v/>
      </c>
      <c r="G396" s="8" t="str">
        <f aca="false">IF($A396="","",IF(OR($F396="Past due",$F396="Due today",$F396="Spike"),$C396,0))</f>
        <v/>
      </c>
      <c r="H396" s="8" t="str">
        <f aca="false">IF($A396="","",SUBSTITUTE(SUBSTITUTE(SUBSTITUTE($A396&amp;"","~","~~"),"*","~*"),"?","~?"))</f>
        <v/>
      </c>
    </row>
    <row r="397" customFormat="false" ht="15" hidden="false" customHeight="false" outlineLevel="0" collapsed="false">
      <c r="A397" s="11"/>
      <c r="B397" s="6"/>
      <c r="C397" s="11"/>
      <c r="D397" s="11"/>
      <c r="E397" s="8" t="str">
        <f aca="false">IF($A397="","",SUMIFS($C:$C,$A:$A,$H397,$B:$B,"&gt;="&amp;INT($B397),$B:$B,"&lt;"&amp;(INT($B397)+1)))</f>
        <v/>
      </c>
      <c r="F397" s="19" t="str">
        <f aca="false">IF($A397="","",IF(ISNA(MATCH($H397,Buffers!$AE:$AE,0)),"Not on Buffers",IF(NOT(ISNUMBER($B397)),"Needs a date",IF(INT($B397)&lt;PlanDate,"Past due",IF(INT($B397)=PlanDate,"Due today",IF(AND(INDEX(Buffers!$L:$L,MATCH($H397,Buffers!$AE:$AE,0))="Planned",$E397&gt;0,INT($B397)&lt;=PlanDate+ROUNDUP(IF(ISNUMBER(SpikeHorizon),SpikeHorizon,INDEX(Buffers!$D:$D,MATCH($H397,Buffers!$AE:$AE,0))),0),$E397&gt;=SpikePct*INDEX(Buffers!$P:$P,MATCH($H397,Buffers!$AE:$AE,0))),"Spike","Not qualified"))))))</f>
        <v/>
      </c>
      <c r="G397" s="8" t="str">
        <f aca="false">IF($A397="","",IF(OR($F397="Past due",$F397="Due today",$F397="Spike"),$C397,0))</f>
        <v/>
      </c>
      <c r="H397" s="8" t="str">
        <f aca="false">IF($A397="","",SUBSTITUTE(SUBSTITUTE(SUBSTITUTE($A397&amp;"","~","~~"),"*","~*"),"?","~?"))</f>
        <v/>
      </c>
    </row>
    <row r="398" customFormat="false" ht="15" hidden="false" customHeight="false" outlineLevel="0" collapsed="false">
      <c r="A398" s="11"/>
      <c r="B398" s="6"/>
      <c r="C398" s="11"/>
      <c r="D398" s="11"/>
      <c r="E398" s="8" t="str">
        <f aca="false">IF($A398="","",SUMIFS($C:$C,$A:$A,$H398,$B:$B,"&gt;="&amp;INT($B398),$B:$B,"&lt;"&amp;(INT($B398)+1)))</f>
        <v/>
      </c>
      <c r="F398" s="19" t="str">
        <f aca="false">IF($A398="","",IF(ISNA(MATCH($H398,Buffers!$AE:$AE,0)),"Not on Buffers",IF(NOT(ISNUMBER($B398)),"Needs a date",IF(INT($B398)&lt;PlanDate,"Past due",IF(INT($B398)=PlanDate,"Due today",IF(AND(INDEX(Buffers!$L:$L,MATCH($H398,Buffers!$AE:$AE,0))="Planned",$E398&gt;0,INT($B398)&lt;=PlanDate+ROUNDUP(IF(ISNUMBER(SpikeHorizon),SpikeHorizon,INDEX(Buffers!$D:$D,MATCH($H398,Buffers!$AE:$AE,0))),0),$E398&gt;=SpikePct*INDEX(Buffers!$P:$P,MATCH($H398,Buffers!$AE:$AE,0))),"Spike","Not qualified"))))))</f>
        <v/>
      </c>
      <c r="G398" s="8" t="str">
        <f aca="false">IF($A398="","",IF(OR($F398="Past due",$F398="Due today",$F398="Spike"),$C398,0))</f>
        <v/>
      </c>
      <c r="H398" s="8" t="str">
        <f aca="false">IF($A398="","",SUBSTITUTE(SUBSTITUTE(SUBSTITUTE($A398&amp;"","~","~~"),"*","~*"),"?","~?"))</f>
        <v/>
      </c>
    </row>
    <row r="399" customFormat="false" ht="15" hidden="false" customHeight="false" outlineLevel="0" collapsed="false">
      <c r="A399" s="11"/>
      <c r="B399" s="6"/>
      <c r="C399" s="11"/>
      <c r="D399" s="11"/>
      <c r="E399" s="8" t="str">
        <f aca="false">IF($A399="","",SUMIFS($C:$C,$A:$A,$H399,$B:$B,"&gt;="&amp;INT($B399),$B:$B,"&lt;"&amp;(INT($B399)+1)))</f>
        <v/>
      </c>
      <c r="F399" s="19" t="str">
        <f aca="false">IF($A399="","",IF(ISNA(MATCH($H399,Buffers!$AE:$AE,0)),"Not on Buffers",IF(NOT(ISNUMBER($B399)),"Needs a date",IF(INT($B399)&lt;PlanDate,"Past due",IF(INT($B399)=PlanDate,"Due today",IF(AND(INDEX(Buffers!$L:$L,MATCH($H399,Buffers!$AE:$AE,0))="Planned",$E399&gt;0,INT($B399)&lt;=PlanDate+ROUNDUP(IF(ISNUMBER(SpikeHorizon),SpikeHorizon,INDEX(Buffers!$D:$D,MATCH($H399,Buffers!$AE:$AE,0))),0),$E399&gt;=SpikePct*INDEX(Buffers!$P:$P,MATCH($H399,Buffers!$AE:$AE,0))),"Spike","Not qualified"))))))</f>
        <v/>
      </c>
      <c r="G399" s="8" t="str">
        <f aca="false">IF($A399="","",IF(OR($F399="Past due",$F399="Due today",$F399="Spike"),$C399,0))</f>
        <v/>
      </c>
      <c r="H399" s="8" t="str">
        <f aca="false">IF($A399="","",SUBSTITUTE(SUBSTITUTE(SUBSTITUTE($A399&amp;"","~","~~"),"*","~*"),"?","~?"))</f>
        <v/>
      </c>
    </row>
    <row r="400" customFormat="false" ht="15" hidden="false" customHeight="false" outlineLevel="0" collapsed="false">
      <c r="A400" s="11"/>
      <c r="B400" s="6"/>
      <c r="C400" s="11"/>
      <c r="D400" s="11"/>
      <c r="E400" s="8" t="str">
        <f aca="false">IF($A400="","",SUMIFS($C:$C,$A:$A,$H400,$B:$B,"&gt;="&amp;INT($B400),$B:$B,"&lt;"&amp;(INT($B400)+1)))</f>
        <v/>
      </c>
      <c r="F400" s="19" t="str">
        <f aca="false">IF($A400="","",IF(ISNA(MATCH($H400,Buffers!$AE:$AE,0)),"Not on Buffers",IF(NOT(ISNUMBER($B400)),"Needs a date",IF(INT($B400)&lt;PlanDate,"Past due",IF(INT($B400)=PlanDate,"Due today",IF(AND(INDEX(Buffers!$L:$L,MATCH($H400,Buffers!$AE:$AE,0))="Planned",$E400&gt;0,INT($B400)&lt;=PlanDate+ROUNDUP(IF(ISNUMBER(SpikeHorizon),SpikeHorizon,INDEX(Buffers!$D:$D,MATCH($H400,Buffers!$AE:$AE,0))),0),$E400&gt;=SpikePct*INDEX(Buffers!$P:$P,MATCH($H400,Buffers!$AE:$AE,0))),"Spike","Not qualified"))))))</f>
        <v/>
      </c>
      <c r="G400" s="8" t="str">
        <f aca="false">IF($A400="","",IF(OR($F400="Past due",$F400="Due today",$F400="Spike"),$C400,0))</f>
        <v/>
      </c>
      <c r="H400" s="8" t="str">
        <f aca="false">IF($A400="","",SUBSTITUTE(SUBSTITUTE(SUBSTITUTE($A400&amp;"","~","~~"),"*","~*"),"?","~?"))</f>
        <v/>
      </c>
    </row>
    <row r="401" customFormat="false" ht="15" hidden="false" customHeight="false" outlineLevel="0" collapsed="false">
      <c r="A401" s="11"/>
      <c r="B401" s="6"/>
      <c r="C401" s="11"/>
      <c r="D401" s="11"/>
      <c r="E401" s="8" t="str">
        <f aca="false">IF($A401="","",SUMIFS($C:$C,$A:$A,$H401,$B:$B,"&gt;="&amp;INT($B401),$B:$B,"&lt;"&amp;(INT($B401)+1)))</f>
        <v/>
      </c>
      <c r="F401" s="19" t="str">
        <f aca="false">IF($A401="","",IF(ISNA(MATCH($H401,Buffers!$AE:$AE,0)),"Not on Buffers",IF(NOT(ISNUMBER($B401)),"Needs a date",IF(INT($B401)&lt;PlanDate,"Past due",IF(INT($B401)=PlanDate,"Due today",IF(AND(INDEX(Buffers!$L:$L,MATCH($H401,Buffers!$AE:$AE,0))="Planned",$E401&gt;0,INT($B401)&lt;=PlanDate+ROUNDUP(IF(ISNUMBER(SpikeHorizon),SpikeHorizon,INDEX(Buffers!$D:$D,MATCH($H401,Buffers!$AE:$AE,0))),0),$E401&gt;=SpikePct*INDEX(Buffers!$P:$P,MATCH($H401,Buffers!$AE:$AE,0))),"Spike","Not qualified"))))))</f>
        <v/>
      </c>
      <c r="G401" s="8" t="str">
        <f aca="false">IF($A401="","",IF(OR($F401="Past due",$F401="Due today",$F401="Spike"),$C401,0))</f>
        <v/>
      </c>
      <c r="H401" s="8" t="str">
        <f aca="false">IF($A401="","",SUBSTITUTE(SUBSTITUTE(SUBSTITUTE($A401&amp;"","~","~~"),"*","~*"),"?","~?"))</f>
        <v/>
      </c>
    </row>
    <row r="402" customFormat="false" ht="15" hidden="false" customHeight="false" outlineLevel="0" collapsed="false">
      <c r="A402" s="11"/>
      <c r="B402" s="6"/>
      <c r="C402" s="11"/>
      <c r="D402" s="11"/>
      <c r="E402" s="8" t="str">
        <f aca="false">IF($A402="","",SUMIFS($C:$C,$A:$A,$H402,$B:$B,"&gt;="&amp;INT($B402),$B:$B,"&lt;"&amp;(INT($B402)+1)))</f>
        <v/>
      </c>
      <c r="F402" s="19" t="str">
        <f aca="false">IF($A402="","",IF(ISNA(MATCH($H402,Buffers!$AE:$AE,0)),"Not on Buffers",IF(NOT(ISNUMBER($B402)),"Needs a date",IF(INT($B402)&lt;PlanDate,"Past due",IF(INT($B402)=PlanDate,"Due today",IF(AND(INDEX(Buffers!$L:$L,MATCH($H402,Buffers!$AE:$AE,0))="Planned",$E402&gt;0,INT($B402)&lt;=PlanDate+ROUNDUP(IF(ISNUMBER(SpikeHorizon),SpikeHorizon,INDEX(Buffers!$D:$D,MATCH($H402,Buffers!$AE:$AE,0))),0),$E402&gt;=SpikePct*INDEX(Buffers!$P:$P,MATCH($H402,Buffers!$AE:$AE,0))),"Spike","Not qualified"))))))</f>
        <v/>
      </c>
      <c r="G402" s="8" t="str">
        <f aca="false">IF($A402="","",IF(OR($F402="Past due",$F402="Due today",$F402="Spike"),$C402,0))</f>
        <v/>
      </c>
      <c r="H402" s="8" t="str">
        <f aca="false">IF($A402="","",SUBSTITUTE(SUBSTITUTE(SUBSTITUTE($A402&amp;"","~","~~"),"*","~*"),"?","~?"))</f>
        <v/>
      </c>
    </row>
    <row r="403" customFormat="false" ht="15" hidden="false" customHeight="false" outlineLevel="0" collapsed="false">
      <c r="A403" s="11"/>
      <c r="B403" s="6"/>
      <c r="C403" s="11"/>
      <c r="D403" s="11"/>
      <c r="E403" s="8" t="str">
        <f aca="false">IF($A403="","",SUMIFS($C:$C,$A:$A,$H403,$B:$B,"&gt;="&amp;INT($B403),$B:$B,"&lt;"&amp;(INT($B403)+1)))</f>
        <v/>
      </c>
      <c r="F403" s="19" t="str">
        <f aca="false">IF($A403="","",IF(ISNA(MATCH($H403,Buffers!$AE:$AE,0)),"Not on Buffers",IF(NOT(ISNUMBER($B403)),"Needs a date",IF(INT($B403)&lt;PlanDate,"Past due",IF(INT($B403)=PlanDate,"Due today",IF(AND(INDEX(Buffers!$L:$L,MATCH($H403,Buffers!$AE:$AE,0))="Planned",$E403&gt;0,INT($B403)&lt;=PlanDate+ROUNDUP(IF(ISNUMBER(SpikeHorizon),SpikeHorizon,INDEX(Buffers!$D:$D,MATCH($H403,Buffers!$AE:$AE,0))),0),$E403&gt;=SpikePct*INDEX(Buffers!$P:$P,MATCH($H403,Buffers!$AE:$AE,0))),"Spike","Not qualified"))))))</f>
        <v/>
      </c>
      <c r="G403" s="8" t="str">
        <f aca="false">IF($A403="","",IF(OR($F403="Past due",$F403="Due today",$F403="Spike"),$C403,0))</f>
        <v/>
      </c>
      <c r="H403" s="8" t="str">
        <f aca="false">IF($A403="","",SUBSTITUTE(SUBSTITUTE(SUBSTITUTE($A403&amp;"","~","~~"),"*","~*"),"?","~?"))</f>
        <v/>
      </c>
    </row>
    <row r="404" customFormat="false" ht="15" hidden="false" customHeight="false" outlineLevel="0" collapsed="false">
      <c r="A404" s="11"/>
      <c r="B404" s="6"/>
      <c r="C404" s="11"/>
      <c r="D404" s="11"/>
      <c r="E404" s="8" t="str">
        <f aca="false">IF($A404="","",SUMIFS($C:$C,$A:$A,$H404,$B:$B,"&gt;="&amp;INT($B404),$B:$B,"&lt;"&amp;(INT($B404)+1)))</f>
        <v/>
      </c>
      <c r="F404" s="19" t="str">
        <f aca="false">IF($A404="","",IF(ISNA(MATCH($H404,Buffers!$AE:$AE,0)),"Not on Buffers",IF(NOT(ISNUMBER($B404)),"Needs a date",IF(INT($B404)&lt;PlanDate,"Past due",IF(INT($B404)=PlanDate,"Due today",IF(AND(INDEX(Buffers!$L:$L,MATCH($H404,Buffers!$AE:$AE,0))="Planned",$E404&gt;0,INT($B404)&lt;=PlanDate+ROUNDUP(IF(ISNUMBER(SpikeHorizon),SpikeHorizon,INDEX(Buffers!$D:$D,MATCH($H404,Buffers!$AE:$AE,0))),0),$E404&gt;=SpikePct*INDEX(Buffers!$P:$P,MATCH($H404,Buffers!$AE:$AE,0))),"Spike","Not qualified"))))))</f>
        <v/>
      </c>
      <c r="G404" s="8" t="str">
        <f aca="false">IF($A404="","",IF(OR($F404="Past due",$F404="Due today",$F404="Spike"),$C404,0))</f>
        <v/>
      </c>
      <c r="H404" s="8" t="str">
        <f aca="false">IF($A404="","",SUBSTITUTE(SUBSTITUTE(SUBSTITUTE($A404&amp;"","~","~~"),"*","~*"),"?","~?"))</f>
        <v/>
      </c>
    </row>
    <row r="405" customFormat="false" ht="15" hidden="false" customHeight="false" outlineLevel="0" collapsed="false">
      <c r="A405" s="11"/>
      <c r="B405" s="6"/>
      <c r="C405" s="11"/>
      <c r="D405" s="11"/>
      <c r="E405" s="8" t="str">
        <f aca="false">IF($A405="","",SUMIFS($C:$C,$A:$A,$H405,$B:$B,"&gt;="&amp;INT($B405),$B:$B,"&lt;"&amp;(INT($B405)+1)))</f>
        <v/>
      </c>
      <c r="F405" s="19" t="str">
        <f aca="false">IF($A405="","",IF(ISNA(MATCH($H405,Buffers!$AE:$AE,0)),"Not on Buffers",IF(NOT(ISNUMBER($B405)),"Needs a date",IF(INT($B405)&lt;PlanDate,"Past due",IF(INT($B405)=PlanDate,"Due today",IF(AND(INDEX(Buffers!$L:$L,MATCH($H405,Buffers!$AE:$AE,0))="Planned",$E405&gt;0,INT($B405)&lt;=PlanDate+ROUNDUP(IF(ISNUMBER(SpikeHorizon),SpikeHorizon,INDEX(Buffers!$D:$D,MATCH($H405,Buffers!$AE:$AE,0))),0),$E405&gt;=SpikePct*INDEX(Buffers!$P:$P,MATCH($H405,Buffers!$AE:$AE,0))),"Spike","Not qualified"))))))</f>
        <v/>
      </c>
      <c r="G405" s="8" t="str">
        <f aca="false">IF($A405="","",IF(OR($F405="Past due",$F405="Due today",$F405="Spike"),$C405,0))</f>
        <v/>
      </c>
      <c r="H405" s="8" t="str">
        <f aca="false">IF($A405="","",SUBSTITUTE(SUBSTITUTE(SUBSTITUTE($A405&amp;"","~","~~"),"*","~*"),"?","~?"))</f>
        <v/>
      </c>
    </row>
    <row r="406" customFormat="false" ht="15" hidden="false" customHeight="false" outlineLevel="0" collapsed="false">
      <c r="A406" s="11"/>
      <c r="B406" s="6"/>
      <c r="C406" s="11"/>
      <c r="D406" s="11"/>
      <c r="E406" s="8" t="str">
        <f aca="false">IF($A406="","",SUMIFS($C:$C,$A:$A,$H406,$B:$B,"&gt;="&amp;INT($B406),$B:$B,"&lt;"&amp;(INT($B406)+1)))</f>
        <v/>
      </c>
      <c r="F406" s="19" t="str">
        <f aca="false">IF($A406="","",IF(ISNA(MATCH($H406,Buffers!$AE:$AE,0)),"Not on Buffers",IF(NOT(ISNUMBER($B406)),"Needs a date",IF(INT($B406)&lt;PlanDate,"Past due",IF(INT($B406)=PlanDate,"Due today",IF(AND(INDEX(Buffers!$L:$L,MATCH($H406,Buffers!$AE:$AE,0))="Planned",$E406&gt;0,INT($B406)&lt;=PlanDate+ROUNDUP(IF(ISNUMBER(SpikeHorizon),SpikeHorizon,INDEX(Buffers!$D:$D,MATCH($H406,Buffers!$AE:$AE,0))),0),$E406&gt;=SpikePct*INDEX(Buffers!$P:$P,MATCH($H406,Buffers!$AE:$AE,0))),"Spike","Not qualified"))))))</f>
        <v/>
      </c>
      <c r="G406" s="8" t="str">
        <f aca="false">IF($A406="","",IF(OR($F406="Past due",$F406="Due today",$F406="Spike"),$C406,0))</f>
        <v/>
      </c>
      <c r="H406" s="8" t="str">
        <f aca="false">IF($A406="","",SUBSTITUTE(SUBSTITUTE(SUBSTITUTE($A406&amp;"","~","~~"),"*","~*"),"?","~?"))</f>
        <v/>
      </c>
    </row>
    <row r="407" customFormat="false" ht="15" hidden="false" customHeight="false" outlineLevel="0" collapsed="false">
      <c r="A407" s="11"/>
      <c r="B407" s="6"/>
      <c r="C407" s="11"/>
      <c r="D407" s="11"/>
      <c r="E407" s="8" t="str">
        <f aca="false">IF($A407="","",SUMIFS($C:$C,$A:$A,$H407,$B:$B,"&gt;="&amp;INT($B407),$B:$B,"&lt;"&amp;(INT($B407)+1)))</f>
        <v/>
      </c>
      <c r="F407" s="19" t="str">
        <f aca="false">IF($A407="","",IF(ISNA(MATCH($H407,Buffers!$AE:$AE,0)),"Not on Buffers",IF(NOT(ISNUMBER($B407)),"Needs a date",IF(INT($B407)&lt;PlanDate,"Past due",IF(INT($B407)=PlanDate,"Due today",IF(AND(INDEX(Buffers!$L:$L,MATCH($H407,Buffers!$AE:$AE,0))="Planned",$E407&gt;0,INT($B407)&lt;=PlanDate+ROUNDUP(IF(ISNUMBER(SpikeHorizon),SpikeHorizon,INDEX(Buffers!$D:$D,MATCH($H407,Buffers!$AE:$AE,0))),0),$E407&gt;=SpikePct*INDEX(Buffers!$P:$P,MATCH($H407,Buffers!$AE:$AE,0))),"Spike","Not qualified"))))))</f>
        <v/>
      </c>
      <c r="G407" s="8" t="str">
        <f aca="false">IF($A407="","",IF(OR($F407="Past due",$F407="Due today",$F407="Spike"),$C407,0))</f>
        <v/>
      </c>
      <c r="H407" s="8" t="str">
        <f aca="false">IF($A407="","",SUBSTITUTE(SUBSTITUTE(SUBSTITUTE($A407&amp;"","~","~~"),"*","~*"),"?","~?"))</f>
        <v/>
      </c>
    </row>
    <row r="408" customFormat="false" ht="15" hidden="false" customHeight="false" outlineLevel="0" collapsed="false">
      <c r="A408" s="11"/>
      <c r="B408" s="6"/>
      <c r="C408" s="11"/>
      <c r="D408" s="11"/>
      <c r="E408" s="8" t="str">
        <f aca="false">IF($A408="","",SUMIFS($C:$C,$A:$A,$H408,$B:$B,"&gt;="&amp;INT($B408),$B:$B,"&lt;"&amp;(INT($B408)+1)))</f>
        <v/>
      </c>
      <c r="F408" s="19" t="str">
        <f aca="false">IF($A408="","",IF(ISNA(MATCH($H408,Buffers!$AE:$AE,0)),"Not on Buffers",IF(NOT(ISNUMBER($B408)),"Needs a date",IF(INT($B408)&lt;PlanDate,"Past due",IF(INT($B408)=PlanDate,"Due today",IF(AND(INDEX(Buffers!$L:$L,MATCH($H408,Buffers!$AE:$AE,0))="Planned",$E408&gt;0,INT($B408)&lt;=PlanDate+ROUNDUP(IF(ISNUMBER(SpikeHorizon),SpikeHorizon,INDEX(Buffers!$D:$D,MATCH($H408,Buffers!$AE:$AE,0))),0),$E408&gt;=SpikePct*INDEX(Buffers!$P:$P,MATCH($H408,Buffers!$AE:$AE,0))),"Spike","Not qualified"))))))</f>
        <v/>
      </c>
      <c r="G408" s="8" t="str">
        <f aca="false">IF($A408="","",IF(OR($F408="Past due",$F408="Due today",$F408="Spike"),$C408,0))</f>
        <v/>
      </c>
      <c r="H408" s="8" t="str">
        <f aca="false">IF($A408="","",SUBSTITUTE(SUBSTITUTE(SUBSTITUTE($A408&amp;"","~","~~"),"*","~*"),"?","~?"))</f>
        <v/>
      </c>
    </row>
    <row r="409" customFormat="false" ht="15" hidden="false" customHeight="false" outlineLevel="0" collapsed="false">
      <c r="A409" s="11"/>
      <c r="B409" s="6"/>
      <c r="C409" s="11"/>
      <c r="D409" s="11"/>
      <c r="E409" s="8" t="str">
        <f aca="false">IF($A409="","",SUMIFS($C:$C,$A:$A,$H409,$B:$B,"&gt;="&amp;INT($B409),$B:$B,"&lt;"&amp;(INT($B409)+1)))</f>
        <v/>
      </c>
      <c r="F409" s="19" t="str">
        <f aca="false">IF($A409="","",IF(ISNA(MATCH($H409,Buffers!$AE:$AE,0)),"Not on Buffers",IF(NOT(ISNUMBER($B409)),"Needs a date",IF(INT($B409)&lt;PlanDate,"Past due",IF(INT($B409)=PlanDate,"Due today",IF(AND(INDEX(Buffers!$L:$L,MATCH($H409,Buffers!$AE:$AE,0))="Planned",$E409&gt;0,INT($B409)&lt;=PlanDate+ROUNDUP(IF(ISNUMBER(SpikeHorizon),SpikeHorizon,INDEX(Buffers!$D:$D,MATCH($H409,Buffers!$AE:$AE,0))),0),$E409&gt;=SpikePct*INDEX(Buffers!$P:$P,MATCH($H409,Buffers!$AE:$AE,0))),"Spike","Not qualified"))))))</f>
        <v/>
      </c>
      <c r="G409" s="8" t="str">
        <f aca="false">IF($A409="","",IF(OR($F409="Past due",$F409="Due today",$F409="Spike"),$C409,0))</f>
        <v/>
      </c>
      <c r="H409" s="8" t="str">
        <f aca="false">IF($A409="","",SUBSTITUTE(SUBSTITUTE(SUBSTITUTE($A409&amp;"","~","~~"),"*","~*"),"?","~?"))</f>
        <v/>
      </c>
    </row>
    <row r="410" customFormat="false" ht="15" hidden="false" customHeight="false" outlineLevel="0" collapsed="false">
      <c r="A410" s="11"/>
      <c r="B410" s="6"/>
      <c r="C410" s="11"/>
      <c r="D410" s="11"/>
      <c r="E410" s="8" t="str">
        <f aca="false">IF($A410="","",SUMIFS($C:$C,$A:$A,$H410,$B:$B,"&gt;="&amp;INT($B410),$B:$B,"&lt;"&amp;(INT($B410)+1)))</f>
        <v/>
      </c>
      <c r="F410" s="19" t="str">
        <f aca="false">IF($A410="","",IF(ISNA(MATCH($H410,Buffers!$AE:$AE,0)),"Not on Buffers",IF(NOT(ISNUMBER($B410)),"Needs a date",IF(INT($B410)&lt;PlanDate,"Past due",IF(INT($B410)=PlanDate,"Due today",IF(AND(INDEX(Buffers!$L:$L,MATCH($H410,Buffers!$AE:$AE,0))="Planned",$E410&gt;0,INT($B410)&lt;=PlanDate+ROUNDUP(IF(ISNUMBER(SpikeHorizon),SpikeHorizon,INDEX(Buffers!$D:$D,MATCH($H410,Buffers!$AE:$AE,0))),0),$E410&gt;=SpikePct*INDEX(Buffers!$P:$P,MATCH($H410,Buffers!$AE:$AE,0))),"Spike","Not qualified"))))))</f>
        <v/>
      </c>
      <c r="G410" s="8" t="str">
        <f aca="false">IF($A410="","",IF(OR($F410="Past due",$F410="Due today",$F410="Spike"),$C410,0))</f>
        <v/>
      </c>
      <c r="H410" s="8" t="str">
        <f aca="false">IF($A410="","",SUBSTITUTE(SUBSTITUTE(SUBSTITUTE($A410&amp;"","~","~~"),"*","~*"),"?","~?"))</f>
        <v/>
      </c>
    </row>
    <row r="411" customFormat="false" ht="15" hidden="false" customHeight="false" outlineLevel="0" collapsed="false">
      <c r="A411" s="11"/>
      <c r="B411" s="6"/>
      <c r="C411" s="11"/>
      <c r="D411" s="11"/>
      <c r="E411" s="8" t="str">
        <f aca="false">IF($A411="","",SUMIFS($C:$C,$A:$A,$H411,$B:$B,"&gt;="&amp;INT($B411),$B:$B,"&lt;"&amp;(INT($B411)+1)))</f>
        <v/>
      </c>
      <c r="F411" s="19" t="str">
        <f aca="false">IF($A411="","",IF(ISNA(MATCH($H411,Buffers!$AE:$AE,0)),"Not on Buffers",IF(NOT(ISNUMBER($B411)),"Needs a date",IF(INT($B411)&lt;PlanDate,"Past due",IF(INT($B411)=PlanDate,"Due today",IF(AND(INDEX(Buffers!$L:$L,MATCH($H411,Buffers!$AE:$AE,0))="Planned",$E411&gt;0,INT($B411)&lt;=PlanDate+ROUNDUP(IF(ISNUMBER(SpikeHorizon),SpikeHorizon,INDEX(Buffers!$D:$D,MATCH($H411,Buffers!$AE:$AE,0))),0),$E411&gt;=SpikePct*INDEX(Buffers!$P:$P,MATCH($H411,Buffers!$AE:$AE,0))),"Spike","Not qualified"))))))</f>
        <v/>
      </c>
      <c r="G411" s="8" t="str">
        <f aca="false">IF($A411="","",IF(OR($F411="Past due",$F411="Due today",$F411="Spike"),$C411,0))</f>
        <v/>
      </c>
      <c r="H411" s="8" t="str">
        <f aca="false">IF($A411="","",SUBSTITUTE(SUBSTITUTE(SUBSTITUTE($A411&amp;"","~","~~"),"*","~*"),"?","~?"))</f>
        <v/>
      </c>
    </row>
    <row r="412" customFormat="false" ht="15" hidden="false" customHeight="false" outlineLevel="0" collapsed="false">
      <c r="A412" s="11"/>
      <c r="B412" s="6"/>
      <c r="C412" s="11"/>
      <c r="D412" s="11"/>
      <c r="E412" s="8" t="str">
        <f aca="false">IF($A412="","",SUMIFS($C:$C,$A:$A,$H412,$B:$B,"&gt;="&amp;INT($B412),$B:$B,"&lt;"&amp;(INT($B412)+1)))</f>
        <v/>
      </c>
      <c r="F412" s="19" t="str">
        <f aca="false">IF($A412="","",IF(ISNA(MATCH($H412,Buffers!$AE:$AE,0)),"Not on Buffers",IF(NOT(ISNUMBER($B412)),"Needs a date",IF(INT($B412)&lt;PlanDate,"Past due",IF(INT($B412)=PlanDate,"Due today",IF(AND(INDEX(Buffers!$L:$L,MATCH($H412,Buffers!$AE:$AE,0))="Planned",$E412&gt;0,INT($B412)&lt;=PlanDate+ROUNDUP(IF(ISNUMBER(SpikeHorizon),SpikeHorizon,INDEX(Buffers!$D:$D,MATCH($H412,Buffers!$AE:$AE,0))),0),$E412&gt;=SpikePct*INDEX(Buffers!$P:$P,MATCH($H412,Buffers!$AE:$AE,0))),"Spike","Not qualified"))))))</f>
        <v/>
      </c>
      <c r="G412" s="8" t="str">
        <f aca="false">IF($A412="","",IF(OR($F412="Past due",$F412="Due today",$F412="Spike"),$C412,0))</f>
        <v/>
      </c>
      <c r="H412" s="8" t="str">
        <f aca="false">IF($A412="","",SUBSTITUTE(SUBSTITUTE(SUBSTITUTE($A412&amp;"","~","~~"),"*","~*"),"?","~?"))</f>
        <v/>
      </c>
    </row>
    <row r="413" customFormat="false" ht="15" hidden="false" customHeight="false" outlineLevel="0" collapsed="false">
      <c r="A413" s="11"/>
      <c r="B413" s="6"/>
      <c r="C413" s="11"/>
      <c r="D413" s="11"/>
      <c r="E413" s="8" t="str">
        <f aca="false">IF($A413="","",SUMIFS($C:$C,$A:$A,$H413,$B:$B,"&gt;="&amp;INT($B413),$B:$B,"&lt;"&amp;(INT($B413)+1)))</f>
        <v/>
      </c>
      <c r="F413" s="19" t="str">
        <f aca="false">IF($A413="","",IF(ISNA(MATCH($H413,Buffers!$AE:$AE,0)),"Not on Buffers",IF(NOT(ISNUMBER($B413)),"Needs a date",IF(INT($B413)&lt;PlanDate,"Past due",IF(INT($B413)=PlanDate,"Due today",IF(AND(INDEX(Buffers!$L:$L,MATCH($H413,Buffers!$AE:$AE,0))="Planned",$E413&gt;0,INT($B413)&lt;=PlanDate+ROUNDUP(IF(ISNUMBER(SpikeHorizon),SpikeHorizon,INDEX(Buffers!$D:$D,MATCH($H413,Buffers!$AE:$AE,0))),0),$E413&gt;=SpikePct*INDEX(Buffers!$P:$P,MATCH($H413,Buffers!$AE:$AE,0))),"Spike","Not qualified"))))))</f>
        <v/>
      </c>
      <c r="G413" s="8" t="str">
        <f aca="false">IF($A413="","",IF(OR($F413="Past due",$F413="Due today",$F413="Spike"),$C413,0))</f>
        <v/>
      </c>
      <c r="H413" s="8" t="str">
        <f aca="false">IF($A413="","",SUBSTITUTE(SUBSTITUTE(SUBSTITUTE($A413&amp;"","~","~~"),"*","~*"),"?","~?"))</f>
        <v/>
      </c>
    </row>
    <row r="414" customFormat="false" ht="15" hidden="false" customHeight="false" outlineLevel="0" collapsed="false">
      <c r="A414" s="11"/>
      <c r="B414" s="6"/>
      <c r="C414" s="11"/>
      <c r="D414" s="11"/>
      <c r="E414" s="8" t="str">
        <f aca="false">IF($A414="","",SUMIFS($C:$C,$A:$A,$H414,$B:$B,"&gt;="&amp;INT($B414),$B:$B,"&lt;"&amp;(INT($B414)+1)))</f>
        <v/>
      </c>
      <c r="F414" s="19" t="str">
        <f aca="false">IF($A414="","",IF(ISNA(MATCH($H414,Buffers!$AE:$AE,0)),"Not on Buffers",IF(NOT(ISNUMBER($B414)),"Needs a date",IF(INT($B414)&lt;PlanDate,"Past due",IF(INT($B414)=PlanDate,"Due today",IF(AND(INDEX(Buffers!$L:$L,MATCH($H414,Buffers!$AE:$AE,0))="Planned",$E414&gt;0,INT($B414)&lt;=PlanDate+ROUNDUP(IF(ISNUMBER(SpikeHorizon),SpikeHorizon,INDEX(Buffers!$D:$D,MATCH($H414,Buffers!$AE:$AE,0))),0),$E414&gt;=SpikePct*INDEX(Buffers!$P:$P,MATCH($H414,Buffers!$AE:$AE,0))),"Spike","Not qualified"))))))</f>
        <v/>
      </c>
      <c r="G414" s="8" t="str">
        <f aca="false">IF($A414="","",IF(OR($F414="Past due",$F414="Due today",$F414="Spike"),$C414,0))</f>
        <v/>
      </c>
      <c r="H414" s="8" t="str">
        <f aca="false">IF($A414="","",SUBSTITUTE(SUBSTITUTE(SUBSTITUTE($A414&amp;"","~","~~"),"*","~*"),"?","~?"))</f>
        <v/>
      </c>
    </row>
    <row r="415" customFormat="false" ht="15" hidden="false" customHeight="false" outlineLevel="0" collapsed="false">
      <c r="A415" s="11"/>
      <c r="B415" s="6"/>
      <c r="C415" s="11"/>
      <c r="D415" s="11"/>
      <c r="E415" s="8" t="str">
        <f aca="false">IF($A415="","",SUMIFS($C:$C,$A:$A,$H415,$B:$B,"&gt;="&amp;INT($B415),$B:$B,"&lt;"&amp;(INT($B415)+1)))</f>
        <v/>
      </c>
      <c r="F415" s="19" t="str">
        <f aca="false">IF($A415="","",IF(ISNA(MATCH($H415,Buffers!$AE:$AE,0)),"Not on Buffers",IF(NOT(ISNUMBER($B415)),"Needs a date",IF(INT($B415)&lt;PlanDate,"Past due",IF(INT($B415)=PlanDate,"Due today",IF(AND(INDEX(Buffers!$L:$L,MATCH($H415,Buffers!$AE:$AE,0))="Planned",$E415&gt;0,INT($B415)&lt;=PlanDate+ROUNDUP(IF(ISNUMBER(SpikeHorizon),SpikeHorizon,INDEX(Buffers!$D:$D,MATCH($H415,Buffers!$AE:$AE,0))),0),$E415&gt;=SpikePct*INDEX(Buffers!$P:$P,MATCH($H415,Buffers!$AE:$AE,0))),"Spike","Not qualified"))))))</f>
        <v/>
      </c>
      <c r="G415" s="8" t="str">
        <f aca="false">IF($A415="","",IF(OR($F415="Past due",$F415="Due today",$F415="Spike"),$C415,0))</f>
        <v/>
      </c>
      <c r="H415" s="8" t="str">
        <f aca="false">IF($A415="","",SUBSTITUTE(SUBSTITUTE(SUBSTITUTE($A415&amp;"","~","~~"),"*","~*"),"?","~?"))</f>
        <v/>
      </c>
    </row>
    <row r="416" customFormat="false" ht="15" hidden="false" customHeight="false" outlineLevel="0" collapsed="false">
      <c r="A416" s="11"/>
      <c r="B416" s="6"/>
      <c r="C416" s="11"/>
      <c r="D416" s="11"/>
      <c r="E416" s="8" t="str">
        <f aca="false">IF($A416="","",SUMIFS($C:$C,$A:$A,$H416,$B:$B,"&gt;="&amp;INT($B416),$B:$B,"&lt;"&amp;(INT($B416)+1)))</f>
        <v/>
      </c>
      <c r="F416" s="19" t="str">
        <f aca="false">IF($A416="","",IF(ISNA(MATCH($H416,Buffers!$AE:$AE,0)),"Not on Buffers",IF(NOT(ISNUMBER($B416)),"Needs a date",IF(INT($B416)&lt;PlanDate,"Past due",IF(INT($B416)=PlanDate,"Due today",IF(AND(INDEX(Buffers!$L:$L,MATCH($H416,Buffers!$AE:$AE,0))="Planned",$E416&gt;0,INT($B416)&lt;=PlanDate+ROUNDUP(IF(ISNUMBER(SpikeHorizon),SpikeHorizon,INDEX(Buffers!$D:$D,MATCH($H416,Buffers!$AE:$AE,0))),0),$E416&gt;=SpikePct*INDEX(Buffers!$P:$P,MATCH($H416,Buffers!$AE:$AE,0))),"Spike","Not qualified"))))))</f>
        <v/>
      </c>
      <c r="G416" s="8" t="str">
        <f aca="false">IF($A416="","",IF(OR($F416="Past due",$F416="Due today",$F416="Spike"),$C416,0))</f>
        <v/>
      </c>
      <c r="H416" s="8" t="str">
        <f aca="false">IF($A416="","",SUBSTITUTE(SUBSTITUTE(SUBSTITUTE($A416&amp;"","~","~~"),"*","~*"),"?","~?"))</f>
        <v/>
      </c>
    </row>
    <row r="417" customFormat="false" ht="15" hidden="false" customHeight="false" outlineLevel="0" collapsed="false">
      <c r="A417" s="11"/>
      <c r="B417" s="6"/>
      <c r="C417" s="11"/>
      <c r="D417" s="11"/>
      <c r="E417" s="8" t="str">
        <f aca="false">IF($A417="","",SUMIFS($C:$C,$A:$A,$H417,$B:$B,"&gt;="&amp;INT($B417),$B:$B,"&lt;"&amp;(INT($B417)+1)))</f>
        <v/>
      </c>
      <c r="F417" s="19" t="str">
        <f aca="false">IF($A417="","",IF(ISNA(MATCH($H417,Buffers!$AE:$AE,0)),"Not on Buffers",IF(NOT(ISNUMBER($B417)),"Needs a date",IF(INT($B417)&lt;PlanDate,"Past due",IF(INT($B417)=PlanDate,"Due today",IF(AND(INDEX(Buffers!$L:$L,MATCH($H417,Buffers!$AE:$AE,0))="Planned",$E417&gt;0,INT($B417)&lt;=PlanDate+ROUNDUP(IF(ISNUMBER(SpikeHorizon),SpikeHorizon,INDEX(Buffers!$D:$D,MATCH($H417,Buffers!$AE:$AE,0))),0),$E417&gt;=SpikePct*INDEX(Buffers!$P:$P,MATCH($H417,Buffers!$AE:$AE,0))),"Spike","Not qualified"))))))</f>
        <v/>
      </c>
      <c r="G417" s="8" t="str">
        <f aca="false">IF($A417="","",IF(OR($F417="Past due",$F417="Due today",$F417="Spike"),$C417,0))</f>
        <v/>
      </c>
      <c r="H417" s="8" t="str">
        <f aca="false">IF($A417="","",SUBSTITUTE(SUBSTITUTE(SUBSTITUTE($A417&amp;"","~","~~"),"*","~*"),"?","~?"))</f>
        <v/>
      </c>
    </row>
    <row r="418" customFormat="false" ht="15" hidden="false" customHeight="false" outlineLevel="0" collapsed="false">
      <c r="A418" s="11"/>
      <c r="B418" s="6"/>
      <c r="C418" s="11"/>
      <c r="D418" s="11"/>
      <c r="E418" s="8" t="str">
        <f aca="false">IF($A418="","",SUMIFS($C:$C,$A:$A,$H418,$B:$B,"&gt;="&amp;INT($B418),$B:$B,"&lt;"&amp;(INT($B418)+1)))</f>
        <v/>
      </c>
      <c r="F418" s="19" t="str">
        <f aca="false">IF($A418="","",IF(ISNA(MATCH($H418,Buffers!$AE:$AE,0)),"Not on Buffers",IF(NOT(ISNUMBER($B418)),"Needs a date",IF(INT($B418)&lt;PlanDate,"Past due",IF(INT($B418)=PlanDate,"Due today",IF(AND(INDEX(Buffers!$L:$L,MATCH($H418,Buffers!$AE:$AE,0))="Planned",$E418&gt;0,INT($B418)&lt;=PlanDate+ROUNDUP(IF(ISNUMBER(SpikeHorizon),SpikeHorizon,INDEX(Buffers!$D:$D,MATCH($H418,Buffers!$AE:$AE,0))),0),$E418&gt;=SpikePct*INDEX(Buffers!$P:$P,MATCH($H418,Buffers!$AE:$AE,0))),"Spike","Not qualified"))))))</f>
        <v/>
      </c>
      <c r="G418" s="8" t="str">
        <f aca="false">IF($A418="","",IF(OR($F418="Past due",$F418="Due today",$F418="Spike"),$C418,0))</f>
        <v/>
      </c>
      <c r="H418" s="8" t="str">
        <f aca="false">IF($A418="","",SUBSTITUTE(SUBSTITUTE(SUBSTITUTE($A418&amp;"","~","~~"),"*","~*"),"?","~?"))</f>
        <v/>
      </c>
    </row>
    <row r="419" customFormat="false" ht="15" hidden="false" customHeight="false" outlineLevel="0" collapsed="false">
      <c r="A419" s="11"/>
      <c r="B419" s="6"/>
      <c r="C419" s="11"/>
      <c r="D419" s="11"/>
      <c r="E419" s="8" t="str">
        <f aca="false">IF($A419="","",SUMIFS($C:$C,$A:$A,$H419,$B:$B,"&gt;="&amp;INT($B419),$B:$B,"&lt;"&amp;(INT($B419)+1)))</f>
        <v/>
      </c>
      <c r="F419" s="19" t="str">
        <f aca="false">IF($A419="","",IF(ISNA(MATCH($H419,Buffers!$AE:$AE,0)),"Not on Buffers",IF(NOT(ISNUMBER($B419)),"Needs a date",IF(INT($B419)&lt;PlanDate,"Past due",IF(INT($B419)=PlanDate,"Due today",IF(AND(INDEX(Buffers!$L:$L,MATCH($H419,Buffers!$AE:$AE,0))="Planned",$E419&gt;0,INT($B419)&lt;=PlanDate+ROUNDUP(IF(ISNUMBER(SpikeHorizon),SpikeHorizon,INDEX(Buffers!$D:$D,MATCH($H419,Buffers!$AE:$AE,0))),0),$E419&gt;=SpikePct*INDEX(Buffers!$P:$P,MATCH($H419,Buffers!$AE:$AE,0))),"Spike","Not qualified"))))))</f>
        <v/>
      </c>
      <c r="G419" s="8" t="str">
        <f aca="false">IF($A419="","",IF(OR($F419="Past due",$F419="Due today",$F419="Spike"),$C419,0))</f>
        <v/>
      </c>
      <c r="H419" s="8" t="str">
        <f aca="false">IF($A419="","",SUBSTITUTE(SUBSTITUTE(SUBSTITUTE($A419&amp;"","~","~~"),"*","~*"),"?","~?"))</f>
        <v/>
      </c>
    </row>
    <row r="420" customFormat="false" ht="15" hidden="false" customHeight="false" outlineLevel="0" collapsed="false">
      <c r="A420" s="11"/>
      <c r="B420" s="6"/>
      <c r="C420" s="11"/>
      <c r="D420" s="11"/>
      <c r="E420" s="8" t="str">
        <f aca="false">IF($A420="","",SUMIFS($C:$C,$A:$A,$H420,$B:$B,"&gt;="&amp;INT($B420),$B:$B,"&lt;"&amp;(INT($B420)+1)))</f>
        <v/>
      </c>
      <c r="F420" s="19" t="str">
        <f aca="false">IF($A420="","",IF(ISNA(MATCH($H420,Buffers!$AE:$AE,0)),"Not on Buffers",IF(NOT(ISNUMBER($B420)),"Needs a date",IF(INT($B420)&lt;PlanDate,"Past due",IF(INT($B420)=PlanDate,"Due today",IF(AND(INDEX(Buffers!$L:$L,MATCH($H420,Buffers!$AE:$AE,0))="Planned",$E420&gt;0,INT($B420)&lt;=PlanDate+ROUNDUP(IF(ISNUMBER(SpikeHorizon),SpikeHorizon,INDEX(Buffers!$D:$D,MATCH($H420,Buffers!$AE:$AE,0))),0),$E420&gt;=SpikePct*INDEX(Buffers!$P:$P,MATCH($H420,Buffers!$AE:$AE,0))),"Spike","Not qualified"))))))</f>
        <v/>
      </c>
      <c r="G420" s="8" t="str">
        <f aca="false">IF($A420="","",IF(OR($F420="Past due",$F420="Due today",$F420="Spike"),$C420,0))</f>
        <v/>
      </c>
      <c r="H420" s="8" t="str">
        <f aca="false">IF($A420="","",SUBSTITUTE(SUBSTITUTE(SUBSTITUTE($A420&amp;"","~","~~"),"*","~*"),"?","~?"))</f>
        <v/>
      </c>
    </row>
    <row r="421" customFormat="false" ht="15" hidden="false" customHeight="false" outlineLevel="0" collapsed="false">
      <c r="A421" s="11"/>
      <c r="B421" s="6"/>
      <c r="C421" s="11"/>
      <c r="D421" s="11"/>
      <c r="E421" s="8" t="str">
        <f aca="false">IF($A421="","",SUMIFS($C:$C,$A:$A,$H421,$B:$B,"&gt;="&amp;INT($B421),$B:$B,"&lt;"&amp;(INT($B421)+1)))</f>
        <v/>
      </c>
      <c r="F421" s="19" t="str">
        <f aca="false">IF($A421="","",IF(ISNA(MATCH($H421,Buffers!$AE:$AE,0)),"Not on Buffers",IF(NOT(ISNUMBER($B421)),"Needs a date",IF(INT($B421)&lt;PlanDate,"Past due",IF(INT($B421)=PlanDate,"Due today",IF(AND(INDEX(Buffers!$L:$L,MATCH($H421,Buffers!$AE:$AE,0))="Planned",$E421&gt;0,INT($B421)&lt;=PlanDate+ROUNDUP(IF(ISNUMBER(SpikeHorizon),SpikeHorizon,INDEX(Buffers!$D:$D,MATCH($H421,Buffers!$AE:$AE,0))),0),$E421&gt;=SpikePct*INDEX(Buffers!$P:$P,MATCH($H421,Buffers!$AE:$AE,0))),"Spike","Not qualified"))))))</f>
        <v/>
      </c>
      <c r="G421" s="8" t="str">
        <f aca="false">IF($A421="","",IF(OR($F421="Past due",$F421="Due today",$F421="Spike"),$C421,0))</f>
        <v/>
      </c>
      <c r="H421" s="8" t="str">
        <f aca="false">IF($A421="","",SUBSTITUTE(SUBSTITUTE(SUBSTITUTE($A421&amp;"","~","~~"),"*","~*"),"?","~?"))</f>
        <v/>
      </c>
    </row>
    <row r="422" customFormat="false" ht="15" hidden="false" customHeight="false" outlineLevel="0" collapsed="false">
      <c r="A422" s="11"/>
      <c r="B422" s="6"/>
      <c r="C422" s="11"/>
      <c r="D422" s="11"/>
      <c r="E422" s="8" t="str">
        <f aca="false">IF($A422="","",SUMIFS($C:$C,$A:$A,$H422,$B:$B,"&gt;="&amp;INT($B422),$B:$B,"&lt;"&amp;(INT($B422)+1)))</f>
        <v/>
      </c>
      <c r="F422" s="19" t="str">
        <f aca="false">IF($A422="","",IF(ISNA(MATCH($H422,Buffers!$AE:$AE,0)),"Not on Buffers",IF(NOT(ISNUMBER($B422)),"Needs a date",IF(INT($B422)&lt;PlanDate,"Past due",IF(INT($B422)=PlanDate,"Due today",IF(AND(INDEX(Buffers!$L:$L,MATCH($H422,Buffers!$AE:$AE,0))="Planned",$E422&gt;0,INT($B422)&lt;=PlanDate+ROUNDUP(IF(ISNUMBER(SpikeHorizon),SpikeHorizon,INDEX(Buffers!$D:$D,MATCH($H422,Buffers!$AE:$AE,0))),0),$E422&gt;=SpikePct*INDEX(Buffers!$P:$P,MATCH($H422,Buffers!$AE:$AE,0))),"Spike","Not qualified"))))))</f>
        <v/>
      </c>
      <c r="G422" s="8" t="str">
        <f aca="false">IF($A422="","",IF(OR($F422="Past due",$F422="Due today",$F422="Spike"),$C422,0))</f>
        <v/>
      </c>
      <c r="H422" s="8" t="str">
        <f aca="false">IF($A422="","",SUBSTITUTE(SUBSTITUTE(SUBSTITUTE($A422&amp;"","~","~~"),"*","~*"),"?","~?"))</f>
        <v/>
      </c>
    </row>
    <row r="423" customFormat="false" ht="15" hidden="false" customHeight="false" outlineLevel="0" collapsed="false">
      <c r="A423" s="11"/>
      <c r="B423" s="6"/>
      <c r="C423" s="11"/>
      <c r="D423" s="11"/>
      <c r="E423" s="8" t="str">
        <f aca="false">IF($A423="","",SUMIFS($C:$C,$A:$A,$H423,$B:$B,"&gt;="&amp;INT($B423),$B:$B,"&lt;"&amp;(INT($B423)+1)))</f>
        <v/>
      </c>
      <c r="F423" s="19" t="str">
        <f aca="false">IF($A423="","",IF(ISNA(MATCH($H423,Buffers!$AE:$AE,0)),"Not on Buffers",IF(NOT(ISNUMBER($B423)),"Needs a date",IF(INT($B423)&lt;PlanDate,"Past due",IF(INT($B423)=PlanDate,"Due today",IF(AND(INDEX(Buffers!$L:$L,MATCH($H423,Buffers!$AE:$AE,0))="Planned",$E423&gt;0,INT($B423)&lt;=PlanDate+ROUNDUP(IF(ISNUMBER(SpikeHorizon),SpikeHorizon,INDEX(Buffers!$D:$D,MATCH($H423,Buffers!$AE:$AE,0))),0),$E423&gt;=SpikePct*INDEX(Buffers!$P:$P,MATCH($H423,Buffers!$AE:$AE,0))),"Spike","Not qualified"))))))</f>
        <v/>
      </c>
      <c r="G423" s="8" t="str">
        <f aca="false">IF($A423="","",IF(OR($F423="Past due",$F423="Due today",$F423="Spike"),$C423,0))</f>
        <v/>
      </c>
      <c r="H423" s="8" t="str">
        <f aca="false">IF($A423="","",SUBSTITUTE(SUBSTITUTE(SUBSTITUTE($A423&amp;"","~","~~"),"*","~*"),"?","~?"))</f>
        <v/>
      </c>
    </row>
    <row r="424" customFormat="false" ht="15" hidden="false" customHeight="false" outlineLevel="0" collapsed="false">
      <c r="A424" s="11"/>
      <c r="B424" s="6"/>
      <c r="C424" s="11"/>
      <c r="D424" s="11"/>
      <c r="E424" s="8" t="str">
        <f aca="false">IF($A424="","",SUMIFS($C:$C,$A:$A,$H424,$B:$B,"&gt;="&amp;INT($B424),$B:$B,"&lt;"&amp;(INT($B424)+1)))</f>
        <v/>
      </c>
      <c r="F424" s="19" t="str">
        <f aca="false">IF($A424="","",IF(ISNA(MATCH($H424,Buffers!$AE:$AE,0)),"Not on Buffers",IF(NOT(ISNUMBER($B424)),"Needs a date",IF(INT($B424)&lt;PlanDate,"Past due",IF(INT($B424)=PlanDate,"Due today",IF(AND(INDEX(Buffers!$L:$L,MATCH($H424,Buffers!$AE:$AE,0))="Planned",$E424&gt;0,INT($B424)&lt;=PlanDate+ROUNDUP(IF(ISNUMBER(SpikeHorizon),SpikeHorizon,INDEX(Buffers!$D:$D,MATCH($H424,Buffers!$AE:$AE,0))),0),$E424&gt;=SpikePct*INDEX(Buffers!$P:$P,MATCH($H424,Buffers!$AE:$AE,0))),"Spike","Not qualified"))))))</f>
        <v/>
      </c>
      <c r="G424" s="8" t="str">
        <f aca="false">IF($A424="","",IF(OR($F424="Past due",$F424="Due today",$F424="Spike"),$C424,0))</f>
        <v/>
      </c>
      <c r="H424" s="8" t="str">
        <f aca="false">IF($A424="","",SUBSTITUTE(SUBSTITUTE(SUBSTITUTE($A424&amp;"","~","~~"),"*","~*"),"?","~?"))</f>
        <v/>
      </c>
    </row>
    <row r="425" customFormat="false" ht="15" hidden="false" customHeight="false" outlineLevel="0" collapsed="false">
      <c r="A425" s="11"/>
      <c r="B425" s="6"/>
      <c r="C425" s="11"/>
      <c r="D425" s="11"/>
      <c r="E425" s="8" t="str">
        <f aca="false">IF($A425="","",SUMIFS($C:$C,$A:$A,$H425,$B:$B,"&gt;="&amp;INT($B425),$B:$B,"&lt;"&amp;(INT($B425)+1)))</f>
        <v/>
      </c>
      <c r="F425" s="19" t="str">
        <f aca="false">IF($A425="","",IF(ISNA(MATCH($H425,Buffers!$AE:$AE,0)),"Not on Buffers",IF(NOT(ISNUMBER($B425)),"Needs a date",IF(INT($B425)&lt;PlanDate,"Past due",IF(INT($B425)=PlanDate,"Due today",IF(AND(INDEX(Buffers!$L:$L,MATCH($H425,Buffers!$AE:$AE,0))="Planned",$E425&gt;0,INT($B425)&lt;=PlanDate+ROUNDUP(IF(ISNUMBER(SpikeHorizon),SpikeHorizon,INDEX(Buffers!$D:$D,MATCH($H425,Buffers!$AE:$AE,0))),0),$E425&gt;=SpikePct*INDEX(Buffers!$P:$P,MATCH($H425,Buffers!$AE:$AE,0))),"Spike","Not qualified"))))))</f>
        <v/>
      </c>
      <c r="G425" s="8" t="str">
        <f aca="false">IF($A425="","",IF(OR($F425="Past due",$F425="Due today",$F425="Spike"),$C425,0))</f>
        <v/>
      </c>
      <c r="H425" s="8" t="str">
        <f aca="false">IF($A425="","",SUBSTITUTE(SUBSTITUTE(SUBSTITUTE($A425&amp;"","~","~~"),"*","~*"),"?","~?"))</f>
        <v/>
      </c>
    </row>
    <row r="426" customFormat="false" ht="15" hidden="false" customHeight="false" outlineLevel="0" collapsed="false">
      <c r="A426" s="11"/>
      <c r="B426" s="6"/>
      <c r="C426" s="11"/>
      <c r="D426" s="11"/>
      <c r="E426" s="8" t="str">
        <f aca="false">IF($A426="","",SUMIFS($C:$C,$A:$A,$H426,$B:$B,"&gt;="&amp;INT($B426),$B:$B,"&lt;"&amp;(INT($B426)+1)))</f>
        <v/>
      </c>
      <c r="F426" s="19" t="str">
        <f aca="false">IF($A426="","",IF(ISNA(MATCH($H426,Buffers!$AE:$AE,0)),"Not on Buffers",IF(NOT(ISNUMBER($B426)),"Needs a date",IF(INT($B426)&lt;PlanDate,"Past due",IF(INT($B426)=PlanDate,"Due today",IF(AND(INDEX(Buffers!$L:$L,MATCH($H426,Buffers!$AE:$AE,0))="Planned",$E426&gt;0,INT($B426)&lt;=PlanDate+ROUNDUP(IF(ISNUMBER(SpikeHorizon),SpikeHorizon,INDEX(Buffers!$D:$D,MATCH($H426,Buffers!$AE:$AE,0))),0),$E426&gt;=SpikePct*INDEX(Buffers!$P:$P,MATCH($H426,Buffers!$AE:$AE,0))),"Spike","Not qualified"))))))</f>
        <v/>
      </c>
      <c r="G426" s="8" t="str">
        <f aca="false">IF($A426="","",IF(OR($F426="Past due",$F426="Due today",$F426="Spike"),$C426,0))</f>
        <v/>
      </c>
      <c r="H426" s="8" t="str">
        <f aca="false">IF($A426="","",SUBSTITUTE(SUBSTITUTE(SUBSTITUTE($A426&amp;"","~","~~"),"*","~*"),"?","~?"))</f>
        <v/>
      </c>
    </row>
    <row r="427" customFormat="false" ht="15" hidden="false" customHeight="false" outlineLevel="0" collapsed="false">
      <c r="A427" s="11"/>
      <c r="B427" s="6"/>
      <c r="C427" s="11"/>
      <c r="D427" s="11"/>
      <c r="E427" s="8" t="str">
        <f aca="false">IF($A427="","",SUMIFS($C:$C,$A:$A,$H427,$B:$B,"&gt;="&amp;INT($B427),$B:$B,"&lt;"&amp;(INT($B427)+1)))</f>
        <v/>
      </c>
      <c r="F427" s="19" t="str">
        <f aca="false">IF($A427="","",IF(ISNA(MATCH($H427,Buffers!$AE:$AE,0)),"Not on Buffers",IF(NOT(ISNUMBER($B427)),"Needs a date",IF(INT($B427)&lt;PlanDate,"Past due",IF(INT($B427)=PlanDate,"Due today",IF(AND(INDEX(Buffers!$L:$L,MATCH($H427,Buffers!$AE:$AE,0))="Planned",$E427&gt;0,INT($B427)&lt;=PlanDate+ROUNDUP(IF(ISNUMBER(SpikeHorizon),SpikeHorizon,INDEX(Buffers!$D:$D,MATCH($H427,Buffers!$AE:$AE,0))),0),$E427&gt;=SpikePct*INDEX(Buffers!$P:$P,MATCH($H427,Buffers!$AE:$AE,0))),"Spike","Not qualified"))))))</f>
        <v/>
      </c>
      <c r="G427" s="8" t="str">
        <f aca="false">IF($A427="","",IF(OR($F427="Past due",$F427="Due today",$F427="Spike"),$C427,0))</f>
        <v/>
      </c>
      <c r="H427" s="8" t="str">
        <f aca="false">IF($A427="","",SUBSTITUTE(SUBSTITUTE(SUBSTITUTE($A427&amp;"","~","~~"),"*","~*"),"?","~?"))</f>
        <v/>
      </c>
    </row>
    <row r="428" customFormat="false" ht="15" hidden="false" customHeight="false" outlineLevel="0" collapsed="false">
      <c r="A428" s="11"/>
      <c r="B428" s="6"/>
      <c r="C428" s="11"/>
      <c r="D428" s="11"/>
      <c r="E428" s="8" t="str">
        <f aca="false">IF($A428="","",SUMIFS($C:$C,$A:$A,$H428,$B:$B,"&gt;="&amp;INT($B428),$B:$B,"&lt;"&amp;(INT($B428)+1)))</f>
        <v/>
      </c>
      <c r="F428" s="19" t="str">
        <f aca="false">IF($A428="","",IF(ISNA(MATCH($H428,Buffers!$AE:$AE,0)),"Not on Buffers",IF(NOT(ISNUMBER($B428)),"Needs a date",IF(INT($B428)&lt;PlanDate,"Past due",IF(INT($B428)=PlanDate,"Due today",IF(AND(INDEX(Buffers!$L:$L,MATCH($H428,Buffers!$AE:$AE,0))="Planned",$E428&gt;0,INT($B428)&lt;=PlanDate+ROUNDUP(IF(ISNUMBER(SpikeHorizon),SpikeHorizon,INDEX(Buffers!$D:$D,MATCH($H428,Buffers!$AE:$AE,0))),0),$E428&gt;=SpikePct*INDEX(Buffers!$P:$P,MATCH($H428,Buffers!$AE:$AE,0))),"Spike","Not qualified"))))))</f>
        <v/>
      </c>
      <c r="G428" s="8" t="str">
        <f aca="false">IF($A428="","",IF(OR($F428="Past due",$F428="Due today",$F428="Spike"),$C428,0))</f>
        <v/>
      </c>
      <c r="H428" s="8" t="str">
        <f aca="false">IF($A428="","",SUBSTITUTE(SUBSTITUTE(SUBSTITUTE($A428&amp;"","~","~~"),"*","~*"),"?","~?"))</f>
        <v/>
      </c>
    </row>
    <row r="429" customFormat="false" ht="15" hidden="false" customHeight="false" outlineLevel="0" collapsed="false">
      <c r="A429" s="11"/>
      <c r="B429" s="6"/>
      <c r="C429" s="11"/>
      <c r="D429" s="11"/>
      <c r="E429" s="8" t="str">
        <f aca="false">IF($A429="","",SUMIFS($C:$C,$A:$A,$H429,$B:$B,"&gt;="&amp;INT($B429),$B:$B,"&lt;"&amp;(INT($B429)+1)))</f>
        <v/>
      </c>
      <c r="F429" s="19" t="str">
        <f aca="false">IF($A429="","",IF(ISNA(MATCH($H429,Buffers!$AE:$AE,0)),"Not on Buffers",IF(NOT(ISNUMBER($B429)),"Needs a date",IF(INT($B429)&lt;PlanDate,"Past due",IF(INT($B429)=PlanDate,"Due today",IF(AND(INDEX(Buffers!$L:$L,MATCH($H429,Buffers!$AE:$AE,0))="Planned",$E429&gt;0,INT($B429)&lt;=PlanDate+ROUNDUP(IF(ISNUMBER(SpikeHorizon),SpikeHorizon,INDEX(Buffers!$D:$D,MATCH($H429,Buffers!$AE:$AE,0))),0),$E429&gt;=SpikePct*INDEX(Buffers!$P:$P,MATCH($H429,Buffers!$AE:$AE,0))),"Spike","Not qualified"))))))</f>
        <v/>
      </c>
      <c r="G429" s="8" t="str">
        <f aca="false">IF($A429="","",IF(OR($F429="Past due",$F429="Due today",$F429="Spike"),$C429,0))</f>
        <v/>
      </c>
      <c r="H429" s="8" t="str">
        <f aca="false">IF($A429="","",SUBSTITUTE(SUBSTITUTE(SUBSTITUTE($A429&amp;"","~","~~"),"*","~*"),"?","~?"))</f>
        <v/>
      </c>
    </row>
    <row r="430" customFormat="false" ht="15" hidden="false" customHeight="false" outlineLevel="0" collapsed="false">
      <c r="A430" s="11"/>
      <c r="B430" s="6"/>
      <c r="C430" s="11"/>
      <c r="D430" s="11"/>
      <c r="E430" s="8" t="str">
        <f aca="false">IF($A430="","",SUMIFS($C:$C,$A:$A,$H430,$B:$B,"&gt;="&amp;INT($B430),$B:$B,"&lt;"&amp;(INT($B430)+1)))</f>
        <v/>
      </c>
      <c r="F430" s="19" t="str">
        <f aca="false">IF($A430="","",IF(ISNA(MATCH($H430,Buffers!$AE:$AE,0)),"Not on Buffers",IF(NOT(ISNUMBER($B430)),"Needs a date",IF(INT($B430)&lt;PlanDate,"Past due",IF(INT($B430)=PlanDate,"Due today",IF(AND(INDEX(Buffers!$L:$L,MATCH($H430,Buffers!$AE:$AE,0))="Planned",$E430&gt;0,INT($B430)&lt;=PlanDate+ROUNDUP(IF(ISNUMBER(SpikeHorizon),SpikeHorizon,INDEX(Buffers!$D:$D,MATCH($H430,Buffers!$AE:$AE,0))),0),$E430&gt;=SpikePct*INDEX(Buffers!$P:$P,MATCH($H430,Buffers!$AE:$AE,0))),"Spike","Not qualified"))))))</f>
        <v/>
      </c>
      <c r="G430" s="8" t="str">
        <f aca="false">IF($A430="","",IF(OR($F430="Past due",$F430="Due today",$F430="Spike"),$C430,0))</f>
        <v/>
      </c>
      <c r="H430" s="8" t="str">
        <f aca="false">IF($A430="","",SUBSTITUTE(SUBSTITUTE(SUBSTITUTE($A430&amp;"","~","~~"),"*","~*"),"?","~?"))</f>
        <v/>
      </c>
    </row>
    <row r="431" customFormat="false" ht="15" hidden="false" customHeight="false" outlineLevel="0" collapsed="false">
      <c r="A431" s="11"/>
      <c r="B431" s="6"/>
      <c r="C431" s="11"/>
      <c r="D431" s="11"/>
      <c r="E431" s="8" t="str">
        <f aca="false">IF($A431="","",SUMIFS($C:$C,$A:$A,$H431,$B:$B,"&gt;="&amp;INT($B431),$B:$B,"&lt;"&amp;(INT($B431)+1)))</f>
        <v/>
      </c>
      <c r="F431" s="19" t="str">
        <f aca="false">IF($A431="","",IF(ISNA(MATCH($H431,Buffers!$AE:$AE,0)),"Not on Buffers",IF(NOT(ISNUMBER($B431)),"Needs a date",IF(INT($B431)&lt;PlanDate,"Past due",IF(INT($B431)=PlanDate,"Due today",IF(AND(INDEX(Buffers!$L:$L,MATCH($H431,Buffers!$AE:$AE,0))="Planned",$E431&gt;0,INT($B431)&lt;=PlanDate+ROUNDUP(IF(ISNUMBER(SpikeHorizon),SpikeHorizon,INDEX(Buffers!$D:$D,MATCH($H431,Buffers!$AE:$AE,0))),0),$E431&gt;=SpikePct*INDEX(Buffers!$P:$P,MATCH($H431,Buffers!$AE:$AE,0))),"Spike","Not qualified"))))))</f>
        <v/>
      </c>
      <c r="G431" s="8" t="str">
        <f aca="false">IF($A431="","",IF(OR($F431="Past due",$F431="Due today",$F431="Spike"),$C431,0))</f>
        <v/>
      </c>
      <c r="H431" s="8" t="str">
        <f aca="false">IF($A431="","",SUBSTITUTE(SUBSTITUTE(SUBSTITUTE($A431&amp;"","~","~~"),"*","~*"),"?","~?"))</f>
        <v/>
      </c>
    </row>
    <row r="432" customFormat="false" ht="15" hidden="false" customHeight="false" outlineLevel="0" collapsed="false">
      <c r="A432" s="11"/>
      <c r="B432" s="6"/>
      <c r="C432" s="11"/>
      <c r="D432" s="11"/>
      <c r="E432" s="8" t="str">
        <f aca="false">IF($A432="","",SUMIFS($C:$C,$A:$A,$H432,$B:$B,"&gt;="&amp;INT($B432),$B:$B,"&lt;"&amp;(INT($B432)+1)))</f>
        <v/>
      </c>
      <c r="F432" s="19" t="str">
        <f aca="false">IF($A432="","",IF(ISNA(MATCH($H432,Buffers!$AE:$AE,0)),"Not on Buffers",IF(NOT(ISNUMBER($B432)),"Needs a date",IF(INT($B432)&lt;PlanDate,"Past due",IF(INT($B432)=PlanDate,"Due today",IF(AND(INDEX(Buffers!$L:$L,MATCH($H432,Buffers!$AE:$AE,0))="Planned",$E432&gt;0,INT($B432)&lt;=PlanDate+ROUNDUP(IF(ISNUMBER(SpikeHorizon),SpikeHorizon,INDEX(Buffers!$D:$D,MATCH($H432,Buffers!$AE:$AE,0))),0),$E432&gt;=SpikePct*INDEX(Buffers!$P:$P,MATCH($H432,Buffers!$AE:$AE,0))),"Spike","Not qualified"))))))</f>
        <v/>
      </c>
      <c r="G432" s="8" t="str">
        <f aca="false">IF($A432="","",IF(OR($F432="Past due",$F432="Due today",$F432="Spike"),$C432,0))</f>
        <v/>
      </c>
      <c r="H432" s="8" t="str">
        <f aca="false">IF($A432="","",SUBSTITUTE(SUBSTITUTE(SUBSTITUTE($A432&amp;"","~","~~"),"*","~*"),"?","~?"))</f>
        <v/>
      </c>
    </row>
    <row r="433" customFormat="false" ht="15" hidden="false" customHeight="false" outlineLevel="0" collapsed="false">
      <c r="A433" s="11"/>
      <c r="B433" s="6"/>
      <c r="C433" s="11"/>
      <c r="D433" s="11"/>
      <c r="E433" s="8" t="str">
        <f aca="false">IF($A433="","",SUMIFS($C:$C,$A:$A,$H433,$B:$B,"&gt;="&amp;INT($B433),$B:$B,"&lt;"&amp;(INT($B433)+1)))</f>
        <v/>
      </c>
      <c r="F433" s="19" t="str">
        <f aca="false">IF($A433="","",IF(ISNA(MATCH($H433,Buffers!$AE:$AE,0)),"Not on Buffers",IF(NOT(ISNUMBER($B433)),"Needs a date",IF(INT($B433)&lt;PlanDate,"Past due",IF(INT($B433)=PlanDate,"Due today",IF(AND(INDEX(Buffers!$L:$L,MATCH($H433,Buffers!$AE:$AE,0))="Planned",$E433&gt;0,INT($B433)&lt;=PlanDate+ROUNDUP(IF(ISNUMBER(SpikeHorizon),SpikeHorizon,INDEX(Buffers!$D:$D,MATCH($H433,Buffers!$AE:$AE,0))),0),$E433&gt;=SpikePct*INDEX(Buffers!$P:$P,MATCH($H433,Buffers!$AE:$AE,0))),"Spike","Not qualified"))))))</f>
        <v/>
      </c>
      <c r="G433" s="8" t="str">
        <f aca="false">IF($A433="","",IF(OR($F433="Past due",$F433="Due today",$F433="Spike"),$C433,0))</f>
        <v/>
      </c>
      <c r="H433" s="8" t="str">
        <f aca="false">IF($A433="","",SUBSTITUTE(SUBSTITUTE(SUBSTITUTE($A433&amp;"","~","~~"),"*","~*"),"?","~?"))</f>
        <v/>
      </c>
    </row>
    <row r="434" customFormat="false" ht="15" hidden="false" customHeight="false" outlineLevel="0" collapsed="false">
      <c r="A434" s="11"/>
      <c r="B434" s="6"/>
      <c r="C434" s="11"/>
      <c r="D434" s="11"/>
      <c r="E434" s="8" t="str">
        <f aca="false">IF($A434="","",SUMIFS($C:$C,$A:$A,$H434,$B:$B,"&gt;="&amp;INT($B434),$B:$B,"&lt;"&amp;(INT($B434)+1)))</f>
        <v/>
      </c>
      <c r="F434" s="19" t="str">
        <f aca="false">IF($A434="","",IF(ISNA(MATCH($H434,Buffers!$AE:$AE,0)),"Not on Buffers",IF(NOT(ISNUMBER($B434)),"Needs a date",IF(INT($B434)&lt;PlanDate,"Past due",IF(INT($B434)=PlanDate,"Due today",IF(AND(INDEX(Buffers!$L:$L,MATCH($H434,Buffers!$AE:$AE,0))="Planned",$E434&gt;0,INT($B434)&lt;=PlanDate+ROUNDUP(IF(ISNUMBER(SpikeHorizon),SpikeHorizon,INDEX(Buffers!$D:$D,MATCH($H434,Buffers!$AE:$AE,0))),0),$E434&gt;=SpikePct*INDEX(Buffers!$P:$P,MATCH($H434,Buffers!$AE:$AE,0))),"Spike","Not qualified"))))))</f>
        <v/>
      </c>
      <c r="G434" s="8" t="str">
        <f aca="false">IF($A434="","",IF(OR($F434="Past due",$F434="Due today",$F434="Spike"),$C434,0))</f>
        <v/>
      </c>
      <c r="H434" s="8" t="str">
        <f aca="false">IF($A434="","",SUBSTITUTE(SUBSTITUTE(SUBSTITUTE($A434&amp;"","~","~~"),"*","~*"),"?","~?"))</f>
        <v/>
      </c>
    </row>
    <row r="435" customFormat="false" ht="15" hidden="false" customHeight="false" outlineLevel="0" collapsed="false">
      <c r="A435" s="11"/>
      <c r="B435" s="6"/>
      <c r="C435" s="11"/>
      <c r="D435" s="11"/>
      <c r="E435" s="8" t="str">
        <f aca="false">IF($A435="","",SUMIFS($C:$C,$A:$A,$H435,$B:$B,"&gt;="&amp;INT($B435),$B:$B,"&lt;"&amp;(INT($B435)+1)))</f>
        <v/>
      </c>
      <c r="F435" s="19" t="str">
        <f aca="false">IF($A435="","",IF(ISNA(MATCH($H435,Buffers!$AE:$AE,0)),"Not on Buffers",IF(NOT(ISNUMBER($B435)),"Needs a date",IF(INT($B435)&lt;PlanDate,"Past due",IF(INT($B435)=PlanDate,"Due today",IF(AND(INDEX(Buffers!$L:$L,MATCH($H435,Buffers!$AE:$AE,0))="Planned",$E435&gt;0,INT($B435)&lt;=PlanDate+ROUNDUP(IF(ISNUMBER(SpikeHorizon),SpikeHorizon,INDEX(Buffers!$D:$D,MATCH($H435,Buffers!$AE:$AE,0))),0),$E435&gt;=SpikePct*INDEX(Buffers!$P:$P,MATCH($H435,Buffers!$AE:$AE,0))),"Spike","Not qualified"))))))</f>
        <v/>
      </c>
      <c r="G435" s="8" t="str">
        <f aca="false">IF($A435="","",IF(OR($F435="Past due",$F435="Due today",$F435="Spike"),$C435,0))</f>
        <v/>
      </c>
      <c r="H435" s="8" t="str">
        <f aca="false">IF($A435="","",SUBSTITUTE(SUBSTITUTE(SUBSTITUTE($A435&amp;"","~","~~"),"*","~*"),"?","~?"))</f>
        <v/>
      </c>
    </row>
    <row r="436" customFormat="false" ht="15" hidden="false" customHeight="false" outlineLevel="0" collapsed="false">
      <c r="A436" s="11"/>
      <c r="B436" s="6"/>
      <c r="C436" s="11"/>
      <c r="D436" s="11"/>
      <c r="E436" s="8" t="str">
        <f aca="false">IF($A436="","",SUMIFS($C:$C,$A:$A,$H436,$B:$B,"&gt;="&amp;INT($B436),$B:$B,"&lt;"&amp;(INT($B436)+1)))</f>
        <v/>
      </c>
      <c r="F436" s="19" t="str">
        <f aca="false">IF($A436="","",IF(ISNA(MATCH($H436,Buffers!$AE:$AE,0)),"Not on Buffers",IF(NOT(ISNUMBER($B436)),"Needs a date",IF(INT($B436)&lt;PlanDate,"Past due",IF(INT($B436)=PlanDate,"Due today",IF(AND(INDEX(Buffers!$L:$L,MATCH($H436,Buffers!$AE:$AE,0))="Planned",$E436&gt;0,INT($B436)&lt;=PlanDate+ROUNDUP(IF(ISNUMBER(SpikeHorizon),SpikeHorizon,INDEX(Buffers!$D:$D,MATCH($H436,Buffers!$AE:$AE,0))),0),$E436&gt;=SpikePct*INDEX(Buffers!$P:$P,MATCH($H436,Buffers!$AE:$AE,0))),"Spike","Not qualified"))))))</f>
        <v/>
      </c>
      <c r="G436" s="8" t="str">
        <f aca="false">IF($A436="","",IF(OR($F436="Past due",$F436="Due today",$F436="Spike"),$C436,0))</f>
        <v/>
      </c>
      <c r="H436" s="8" t="str">
        <f aca="false">IF($A436="","",SUBSTITUTE(SUBSTITUTE(SUBSTITUTE($A436&amp;"","~","~~"),"*","~*"),"?","~?"))</f>
        <v/>
      </c>
    </row>
    <row r="437" customFormat="false" ht="15" hidden="false" customHeight="false" outlineLevel="0" collapsed="false">
      <c r="A437" s="11"/>
      <c r="B437" s="6"/>
      <c r="C437" s="11"/>
      <c r="D437" s="11"/>
      <c r="E437" s="8" t="str">
        <f aca="false">IF($A437="","",SUMIFS($C:$C,$A:$A,$H437,$B:$B,"&gt;="&amp;INT($B437),$B:$B,"&lt;"&amp;(INT($B437)+1)))</f>
        <v/>
      </c>
      <c r="F437" s="19" t="str">
        <f aca="false">IF($A437="","",IF(ISNA(MATCH($H437,Buffers!$AE:$AE,0)),"Not on Buffers",IF(NOT(ISNUMBER($B437)),"Needs a date",IF(INT($B437)&lt;PlanDate,"Past due",IF(INT($B437)=PlanDate,"Due today",IF(AND(INDEX(Buffers!$L:$L,MATCH($H437,Buffers!$AE:$AE,0))="Planned",$E437&gt;0,INT($B437)&lt;=PlanDate+ROUNDUP(IF(ISNUMBER(SpikeHorizon),SpikeHorizon,INDEX(Buffers!$D:$D,MATCH($H437,Buffers!$AE:$AE,0))),0),$E437&gt;=SpikePct*INDEX(Buffers!$P:$P,MATCH($H437,Buffers!$AE:$AE,0))),"Spike","Not qualified"))))))</f>
        <v/>
      </c>
      <c r="G437" s="8" t="str">
        <f aca="false">IF($A437="","",IF(OR($F437="Past due",$F437="Due today",$F437="Spike"),$C437,0))</f>
        <v/>
      </c>
      <c r="H437" s="8" t="str">
        <f aca="false">IF($A437="","",SUBSTITUTE(SUBSTITUTE(SUBSTITUTE($A437&amp;"","~","~~"),"*","~*"),"?","~?"))</f>
        <v/>
      </c>
    </row>
    <row r="438" customFormat="false" ht="15" hidden="false" customHeight="false" outlineLevel="0" collapsed="false">
      <c r="A438" s="11"/>
      <c r="B438" s="6"/>
      <c r="C438" s="11"/>
      <c r="D438" s="11"/>
      <c r="E438" s="8" t="str">
        <f aca="false">IF($A438="","",SUMIFS($C:$C,$A:$A,$H438,$B:$B,"&gt;="&amp;INT($B438),$B:$B,"&lt;"&amp;(INT($B438)+1)))</f>
        <v/>
      </c>
      <c r="F438" s="19" t="str">
        <f aca="false">IF($A438="","",IF(ISNA(MATCH($H438,Buffers!$AE:$AE,0)),"Not on Buffers",IF(NOT(ISNUMBER($B438)),"Needs a date",IF(INT($B438)&lt;PlanDate,"Past due",IF(INT($B438)=PlanDate,"Due today",IF(AND(INDEX(Buffers!$L:$L,MATCH($H438,Buffers!$AE:$AE,0))="Planned",$E438&gt;0,INT($B438)&lt;=PlanDate+ROUNDUP(IF(ISNUMBER(SpikeHorizon),SpikeHorizon,INDEX(Buffers!$D:$D,MATCH($H438,Buffers!$AE:$AE,0))),0),$E438&gt;=SpikePct*INDEX(Buffers!$P:$P,MATCH($H438,Buffers!$AE:$AE,0))),"Spike","Not qualified"))))))</f>
        <v/>
      </c>
      <c r="G438" s="8" t="str">
        <f aca="false">IF($A438="","",IF(OR($F438="Past due",$F438="Due today",$F438="Spike"),$C438,0))</f>
        <v/>
      </c>
      <c r="H438" s="8" t="str">
        <f aca="false">IF($A438="","",SUBSTITUTE(SUBSTITUTE(SUBSTITUTE($A438&amp;"","~","~~"),"*","~*"),"?","~?"))</f>
        <v/>
      </c>
    </row>
    <row r="439" customFormat="false" ht="15" hidden="false" customHeight="false" outlineLevel="0" collapsed="false">
      <c r="A439" s="11"/>
      <c r="B439" s="6"/>
      <c r="C439" s="11"/>
      <c r="D439" s="11"/>
      <c r="E439" s="8" t="str">
        <f aca="false">IF($A439="","",SUMIFS($C:$C,$A:$A,$H439,$B:$B,"&gt;="&amp;INT($B439),$B:$B,"&lt;"&amp;(INT($B439)+1)))</f>
        <v/>
      </c>
      <c r="F439" s="19" t="str">
        <f aca="false">IF($A439="","",IF(ISNA(MATCH($H439,Buffers!$AE:$AE,0)),"Not on Buffers",IF(NOT(ISNUMBER($B439)),"Needs a date",IF(INT($B439)&lt;PlanDate,"Past due",IF(INT($B439)=PlanDate,"Due today",IF(AND(INDEX(Buffers!$L:$L,MATCH($H439,Buffers!$AE:$AE,0))="Planned",$E439&gt;0,INT($B439)&lt;=PlanDate+ROUNDUP(IF(ISNUMBER(SpikeHorizon),SpikeHorizon,INDEX(Buffers!$D:$D,MATCH($H439,Buffers!$AE:$AE,0))),0),$E439&gt;=SpikePct*INDEX(Buffers!$P:$P,MATCH($H439,Buffers!$AE:$AE,0))),"Spike","Not qualified"))))))</f>
        <v/>
      </c>
      <c r="G439" s="8" t="str">
        <f aca="false">IF($A439="","",IF(OR($F439="Past due",$F439="Due today",$F439="Spike"),$C439,0))</f>
        <v/>
      </c>
      <c r="H439" s="8" t="str">
        <f aca="false">IF($A439="","",SUBSTITUTE(SUBSTITUTE(SUBSTITUTE($A439&amp;"","~","~~"),"*","~*"),"?","~?"))</f>
        <v/>
      </c>
    </row>
    <row r="440" customFormat="false" ht="15" hidden="false" customHeight="false" outlineLevel="0" collapsed="false">
      <c r="A440" s="11"/>
      <c r="B440" s="6"/>
      <c r="C440" s="11"/>
      <c r="D440" s="11"/>
      <c r="E440" s="8" t="str">
        <f aca="false">IF($A440="","",SUMIFS($C:$C,$A:$A,$H440,$B:$B,"&gt;="&amp;INT($B440),$B:$B,"&lt;"&amp;(INT($B440)+1)))</f>
        <v/>
      </c>
      <c r="F440" s="19" t="str">
        <f aca="false">IF($A440="","",IF(ISNA(MATCH($H440,Buffers!$AE:$AE,0)),"Not on Buffers",IF(NOT(ISNUMBER($B440)),"Needs a date",IF(INT($B440)&lt;PlanDate,"Past due",IF(INT($B440)=PlanDate,"Due today",IF(AND(INDEX(Buffers!$L:$L,MATCH($H440,Buffers!$AE:$AE,0))="Planned",$E440&gt;0,INT($B440)&lt;=PlanDate+ROUNDUP(IF(ISNUMBER(SpikeHorizon),SpikeHorizon,INDEX(Buffers!$D:$D,MATCH($H440,Buffers!$AE:$AE,0))),0),$E440&gt;=SpikePct*INDEX(Buffers!$P:$P,MATCH($H440,Buffers!$AE:$AE,0))),"Spike","Not qualified"))))))</f>
        <v/>
      </c>
      <c r="G440" s="8" t="str">
        <f aca="false">IF($A440="","",IF(OR($F440="Past due",$F440="Due today",$F440="Spike"),$C440,0))</f>
        <v/>
      </c>
      <c r="H440" s="8" t="str">
        <f aca="false">IF($A440="","",SUBSTITUTE(SUBSTITUTE(SUBSTITUTE($A440&amp;"","~","~~"),"*","~*"),"?","~?"))</f>
        <v/>
      </c>
    </row>
    <row r="441" customFormat="false" ht="15" hidden="false" customHeight="false" outlineLevel="0" collapsed="false">
      <c r="A441" s="11"/>
      <c r="B441" s="6"/>
      <c r="C441" s="11"/>
      <c r="D441" s="11"/>
      <c r="E441" s="8" t="str">
        <f aca="false">IF($A441="","",SUMIFS($C:$C,$A:$A,$H441,$B:$B,"&gt;="&amp;INT($B441),$B:$B,"&lt;"&amp;(INT($B441)+1)))</f>
        <v/>
      </c>
      <c r="F441" s="19" t="str">
        <f aca="false">IF($A441="","",IF(ISNA(MATCH($H441,Buffers!$AE:$AE,0)),"Not on Buffers",IF(NOT(ISNUMBER($B441)),"Needs a date",IF(INT($B441)&lt;PlanDate,"Past due",IF(INT($B441)=PlanDate,"Due today",IF(AND(INDEX(Buffers!$L:$L,MATCH($H441,Buffers!$AE:$AE,0))="Planned",$E441&gt;0,INT($B441)&lt;=PlanDate+ROUNDUP(IF(ISNUMBER(SpikeHorizon),SpikeHorizon,INDEX(Buffers!$D:$D,MATCH($H441,Buffers!$AE:$AE,0))),0),$E441&gt;=SpikePct*INDEX(Buffers!$P:$P,MATCH($H441,Buffers!$AE:$AE,0))),"Spike","Not qualified"))))))</f>
        <v/>
      </c>
      <c r="G441" s="8" t="str">
        <f aca="false">IF($A441="","",IF(OR($F441="Past due",$F441="Due today",$F441="Spike"),$C441,0))</f>
        <v/>
      </c>
      <c r="H441" s="8" t="str">
        <f aca="false">IF($A441="","",SUBSTITUTE(SUBSTITUTE(SUBSTITUTE($A441&amp;"","~","~~"),"*","~*"),"?","~?"))</f>
        <v/>
      </c>
    </row>
    <row r="442" customFormat="false" ht="15" hidden="false" customHeight="false" outlineLevel="0" collapsed="false">
      <c r="A442" s="11"/>
      <c r="B442" s="6"/>
      <c r="C442" s="11"/>
      <c r="D442" s="11"/>
      <c r="E442" s="8" t="str">
        <f aca="false">IF($A442="","",SUMIFS($C:$C,$A:$A,$H442,$B:$B,"&gt;="&amp;INT($B442),$B:$B,"&lt;"&amp;(INT($B442)+1)))</f>
        <v/>
      </c>
      <c r="F442" s="19" t="str">
        <f aca="false">IF($A442="","",IF(ISNA(MATCH($H442,Buffers!$AE:$AE,0)),"Not on Buffers",IF(NOT(ISNUMBER($B442)),"Needs a date",IF(INT($B442)&lt;PlanDate,"Past due",IF(INT($B442)=PlanDate,"Due today",IF(AND(INDEX(Buffers!$L:$L,MATCH($H442,Buffers!$AE:$AE,0))="Planned",$E442&gt;0,INT($B442)&lt;=PlanDate+ROUNDUP(IF(ISNUMBER(SpikeHorizon),SpikeHorizon,INDEX(Buffers!$D:$D,MATCH($H442,Buffers!$AE:$AE,0))),0),$E442&gt;=SpikePct*INDEX(Buffers!$P:$P,MATCH($H442,Buffers!$AE:$AE,0))),"Spike","Not qualified"))))))</f>
        <v/>
      </c>
      <c r="G442" s="8" t="str">
        <f aca="false">IF($A442="","",IF(OR($F442="Past due",$F442="Due today",$F442="Spike"),$C442,0))</f>
        <v/>
      </c>
      <c r="H442" s="8" t="str">
        <f aca="false">IF($A442="","",SUBSTITUTE(SUBSTITUTE(SUBSTITUTE($A442&amp;"","~","~~"),"*","~*"),"?","~?"))</f>
        <v/>
      </c>
    </row>
    <row r="443" customFormat="false" ht="15" hidden="false" customHeight="false" outlineLevel="0" collapsed="false">
      <c r="A443" s="11"/>
      <c r="B443" s="6"/>
      <c r="C443" s="11"/>
      <c r="D443" s="11"/>
      <c r="E443" s="8" t="str">
        <f aca="false">IF($A443="","",SUMIFS($C:$C,$A:$A,$H443,$B:$B,"&gt;="&amp;INT($B443),$B:$B,"&lt;"&amp;(INT($B443)+1)))</f>
        <v/>
      </c>
      <c r="F443" s="19" t="str">
        <f aca="false">IF($A443="","",IF(ISNA(MATCH($H443,Buffers!$AE:$AE,0)),"Not on Buffers",IF(NOT(ISNUMBER($B443)),"Needs a date",IF(INT($B443)&lt;PlanDate,"Past due",IF(INT($B443)=PlanDate,"Due today",IF(AND(INDEX(Buffers!$L:$L,MATCH($H443,Buffers!$AE:$AE,0))="Planned",$E443&gt;0,INT($B443)&lt;=PlanDate+ROUNDUP(IF(ISNUMBER(SpikeHorizon),SpikeHorizon,INDEX(Buffers!$D:$D,MATCH($H443,Buffers!$AE:$AE,0))),0),$E443&gt;=SpikePct*INDEX(Buffers!$P:$P,MATCH($H443,Buffers!$AE:$AE,0))),"Spike","Not qualified"))))))</f>
        <v/>
      </c>
      <c r="G443" s="8" t="str">
        <f aca="false">IF($A443="","",IF(OR($F443="Past due",$F443="Due today",$F443="Spike"),$C443,0))</f>
        <v/>
      </c>
      <c r="H443" s="8" t="str">
        <f aca="false">IF($A443="","",SUBSTITUTE(SUBSTITUTE(SUBSTITUTE($A443&amp;"","~","~~"),"*","~*"),"?","~?"))</f>
        <v/>
      </c>
    </row>
    <row r="444" customFormat="false" ht="15" hidden="false" customHeight="false" outlineLevel="0" collapsed="false">
      <c r="A444" s="11"/>
      <c r="B444" s="6"/>
      <c r="C444" s="11"/>
      <c r="D444" s="11"/>
      <c r="E444" s="8" t="str">
        <f aca="false">IF($A444="","",SUMIFS($C:$C,$A:$A,$H444,$B:$B,"&gt;="&amp;INT($B444),$B:$B,"&lt;"&amp;(INT($B444)+1)))</f>
        <v/>
      </c>
      <c r="F444" s="19" t="str">
        <f aca="false">IF($A444="","",IF(ISNA(MATCH($H444,Buffers!$AE:$AE,0)),"Not on Buffers",IF(NOT(ISNUMBER($B444)),"Needs a date",IF(INT($B444)&lt;PlanDate,"Past due",IF(INT($B444)=PlanDate,"Due today",IF(AND(INDEX(Buffers!$L:$L,MATCH($H444,Buffers!$AE:$AE,0))="Planned",$E444&gt;0,INT($B444)&lt;=PlanDate+ROUNDUP(IF(ISNUMBER(SpikeHorizon),SpikeHorizon,INDEX(Buffers!$D:$D,MATCH($H444,Buffers!$AE:$AE,0))),0),$E444&gt;=SpikePct*INDEX(Buffers!$P:$P,MATCH($H444,Buffers!$AE:$AE,0))),"Spike","Not qualified"))))))</f>
        <v/>
      </c>
      <c r="G444" s="8" t="str">
        <f aca="false">IF($A444="","",IF(OR($F444="Past due",$F444="Due today",$F444="Spike"),$C444,0))</f>
        <v/>
      </c>
      <c r="H444" s="8" t="str">
        <f aca="false">IF($A444="","",SUBSTITUTE(SUBSTITUTE(SUBSTITUTE($A444&amp;"","~","~~"),"*","~*"),"?","~?"))</f>
        <v/>
      </c>
    </row>
    <row r="445" customFormat="false" ht="15" hidden="false" customHeight="false" outlineLevel="0" collapsed="false">
      <c r="A445" s="11"/>
      <c r="B445" s="6"/>
      <c r="C445" s="11"/>
      <c r="D445" s="11"/>
      <c r="E445" s="8" t="str">
        <f aca="false">IF($A445="","",SUMIFS($C:$C,$A:$A,$H445,$B:$B,"&gt;="&amp;INT($B445),$B:$B,"&lt;"&amp;(INT($B445)+1)))</f>
        <v/>
      </c>
      <c r="F445" s="19" t="str">
        <f aca="false">IF($A445="","",IF(ISNA(MATCH($H445,Buffers!$AE:$AE,0)),"Not on Buffers",IF(NOT(ISNUMBER($B445)),"Needs a date",IF(INT($B445)&lt;PlanDate,"Past due",IF(INT($B445)=PlanDate,"Due today",IF(AND(INDEX(Buffers!$L:$L,MATCH($H445,Buffers!$AE:$AE,0))="Planned",$E445&gt;0,INT($B445)&lt;=PlanDate+ROUNDUP(IF(ISNUMBER(SpikeHorizon),SpikeHorizon,INDEX(Buffers!$D:$D,MATCH($H445,Buffers!$AE:$AE,0))),0),$E445&gt;=SpikePct*INDEX(Buffers!$P:$P,MATCH($H445,Buffers!$AE:$AE,0))),"Spike","Not qualified"))))))</f>
        <v/>
      </c>
      <c r="G445" s="8" t="str">
        <f aca="false">IF($A445="","",IF(OR($F445="Past due",$F445="Due today",$F445="Spike"),$C445,0))</f>
        <v/>
      </c>
      <c r="H445" s="8" t="str">
        <f aca="false">IF($A445="","",SUBSTITUTE(SUBSTITUTE(SUBSTITUTE($A445&amp;"","~","~~"),"*","~*"),"?","~?"))</f>
        <v/>
      </c>
    </row>
    <row r="446" customFormat="false" ht="15" hidden="false" customHeight="false" outlineLevel="0" collapsed="false">
      <c r="A446" s="11"/>
      <c r="B446" s="6"/>
      <c r="C446" s="11"/>
      <c r="D446" s="11"/>
      <c r="E446" s="8" t="str">
        <f aca="false">IF($A446="","",SUMIFS($C:$C,$A:$A,$H446,$B:$B,"&gt;="&amp;INT($B446),$B:$B,"&lt;"&amp;(INT($B446)+1)))</f>
        <v/>
      </c>
      <c r="F446" s="19" t="str">
        <f aca="false">IF($A446="","",IF(ISNA(MATCH($H446,Buffers!$AE:$AE,0)),"Not on Buffers",IF(NOT(ISNUMBER($B446)),"Needs a date",IF(INT($B446)&lt;PlanDate,"Past due",IF(INT($B446)=PlanDate,"Due today",IF(AND(INDEX(Buffers!$L:$L,MATCH($H446,Buffers!$AE:$AE,0))="Planned",$E446&gt;0,INT($B446)&lt;=PlanDate+ROUNDUP(IF(ISNUMBER(SpikeHorizon),SpikeHorizon,INDEX(Buffers!$D:$D,MATCH($H446,Buffers!$AE:$AE,0))),0),$E446&gt;=SpikePct*INDEX(Buffers!$P:$P,MATCH($H446,Buffers!$AE:$AE,0))),"Spike","Not qualified"))))))</f>
        <v/>
      </c>
      <c r="G446" s="8" t="str">
        <f aca="false">IF($A446="","",IF(OR($F446="Past due",$F446="Due today",$F446="Spike"),$C446,0))</f>
        <v/>
      </c>
      <c r="H446" s="8" t="str">
        <f aca="false">IF($A446="","",SUBSTITUTE(SUBSTITUTE(SUBSTITUTE($A446&amp;"","~","~~"),"*","~*"),"?","~?"))</f>
        <v/>
      </c>
    </row>
    <row r="447" customFormat="false" ht="15" hidden="false" customHeight="false" outlineLevel="0" collapsed="false">
      <c r="A447" s="11"/>
      <c r="B447" s="6"/>
      <c r="C447" s="11"/>
      <c r="D447" s="11"/>
      <c r="E447" s="8" t="str">
        <f aca="false">IF($A447="","",SUMIFS($C:$C,$A:$A,$H447,$B:$B,"&gt;="&amp;INT($B447),$B:$B,"&lt;"&amp;(INT($B447)+1)))</f>
        <v/>
      </c>
      <c r="F447" s="19" t="str">
        <f aca="false">IF($A447="","",IF(ISNA(MATCH($H447,Buffers!$AE:$AE,0)),"Not on Buffers",IF(NOT(ISNUMBER($B447)),"Needs a date",IF(INT($B447)&lt;PlanDate,"Past due",IF(INT($B447)=PlanDate,"Due today",IF(AND(INDEX(Buffers!$L:$L,MATCH($H447,Buffers!$AE:$AE,0))="Planned",$E447&gt;0,INT($B447)&lt;=PlanDate+ROUNDUP(IF(ISNUMBER(SpikeHorizon),SpikeHorizon,INDEX(Buffers!$D:$D,MATCH($H447,Buffers!$AE:$AE,0))),0),$E447&gt;=SpikePct*INDEX(Buffers!$P:$P,MATCH($H447,Buffers!$AE:$AE,0))),"Spike","Not qualified"))))))</f>
        <v/>
      </c>
      <c r="G447" s="8" t="str">
        <f aca="false">IF($A447="","",IF(OR($F447="Past due",$F447="Due today",$F447="Spike"),$C447,0))</f>
        <v/>
      </c>
      <c r="H447" s="8" t="str">
        <f aca="false">IF($A447="","",SUBSTITUTE(SUBSTITUTE(SUBSTITUTE($A447&amp;"","~","~~"),"*","~*"),"?","~?"))</f>
        <v/>
      </c>
    </row>
    <row r="448" customFormat="false" ht="15" hidden="false" customHeight="false" outlineLevel="0" collapsed="false">
      <c r="A448" s="11"/>
      <c r="B448" s="6"/>
      <c r="C448" s="11"/>
      <c r="D448" s="11"/>
      <c r="E448" s="8" t="str">
        <f aca="false">IF($A448="","",SUMIFS($C:$C,$A:$A,$H448,$B:$B,"&gt;="&amp;INT($B448),$B:$B,"&lt;"&amp;(INT($B448)+1)))</f>
        <v/>
      </c>
      <c r="F448" s="19" t="str">
        <f aca="false">IF($A448="","",IF(ISNA(MATCH($H448,Buffers!$AE:$AE,0)),"Not on Buffers",IF(NOT(ISNUMBER($B448)),"Needs a date",IF(INT($B448)&lt;PlanDate,"Past due",IF(INT($B448)=PlanDate,"Due today",IF(AND(INDEX(Buffers!$L:$L,MATCH($H448,Buffers!$AE:$AE,0))="Planned",$E448&gt;0,INT($B448)&lt;=PlanDate+ROUNDUP(IF(ISNUMBER(SpikeHorizon),SpikeHorizon,INDEX(Buffers!$D:$D,MATCH($H448,Buffers!$AE:$AE,0))),0),$E448&gt;=SpikePct*INDEX(Buffers!$P:$P,MATCH($H448,Buffers!$AE:$AE,0))),"Spike","Not qualified"))))))</f>
        <v/>
      </c>
      <c r="G448" s="8" t="str">
        <f aca="false">IF($A448="","",IF(OR($F448="Past due",$F448="Due today",$F448="Spike"),$C448,0))</f>
        <v/>
      </c>
      <c r="H448" s="8" t="str">
        <f aca="false">IF($A448="","",SUBSTITUTE(SUBSTITUTE(SUBSTITUTE($A448&amp;"","~","~~"),"*","~*"),"?","~?"))</f>
        <v/>
      </c>
    </row>
    <row r="449" customFormat="false" ht="15" hidden="false" customHeight="false" outlineLevel="0" collapsed="false">
      <c r="A449" s="11"/>
      <c r="B449" s="6"/>
      <c r="C449" s="11"/>
      <c r="D449" s="11"/>
      <c r="E449" s="8" t="str">
        <f aca="false">IF($A449="","",SUMIFS($C:$C,$A:$A,$H449,$B:$B,"&gt;="&amp;INT($B449),$B:$B,"&lt;"&amp;(INT($B449)+1)))</f>
        <v/>
      </c>
      <c r="F449" s="19" t="str">
        <f aca="false">IF($A449="","",IF(ISNA(MATCH($H449,Buffers!$AE:$AE,0)),"Not on Buffers",IF(NOT(ISNUMBER($B449)),"Needs a date",IF(INT($B449)&lt;PlanDate,"Past due",IF(INT($B449)=PlanDate,"Due today",IF(AND(INDEX(Buffers!$L:$L,MATCH($H449,Buffers!$AE:$AE,0))="Planned",$E449&gt;0,INT($B449)&lt;=PlanDate+ROUNDUP(IF(ISNUMBER(SpikeHorizon),SpikeHorizon,INDEX(Buffers!$D:$D,MATCH($H449,Buffers!$AE:$AE,0))),0),$E449&gt;=SpikePct*INDEX(Buffers!$P:$P,MATCH($H449,Buffers!$AE:$AE,0))),"Spike","Not qualified"))))))</f>
        <v/>
      </c>
      <c r="G449" s="8" t="str">
        <f aca="false">IF($A449="","",IF(OR($F449="Past due",$F449="Due today",$F449="Spike"),$C449,0))</f>
        <v/>
      </c>
      <c r="H449" s="8" t="str">
        <f aca="false">IF($A449="","",SUBSTITUTE(SUBSTITUTE(SUBSTITUTE($A449&amp;"","~","~~"),"*","~*"),"?","~?"))</f>
        <v/>
      </c>
    </row>
    <row r="450" customFormat="false" ht="15" hidden="false" customHeight="false" outlineLevel="0" collapsed="false">
      <c r="A450" s="11"/>
      <c r="B450" s="6"/>
      <c r="C450" s="11"/>
      <c r="D450" s="11"/>
      <c r="E450" s="8" t="str">
        <f aca="false">IF($A450="","",SUMIFS($C:$C,$A:$A,$H450,$B:$B,"&gt;="&amp;INT($B450),$B:$B,"&lt;"&amp;(INT($B450)+1)))</f>
        <v/>
      </c>
      <c r="F450" s="19" t="str">
        <f aca="false">IF($A450="","",IF(ISNA(MATCH($H450,Buffers!$AE:$AE,0)),"Not on Buffers",IF(NOT(ISNUMBER($B450)),"Needs a date",IF(INT($B450)&lt;PlanDate,"Past due",IF(INT($B450)=PlanDate,"Due today",IF(AND(INDEX(Buffers!$L:$L,MATCH($H450,Buffers!$AE:$AE,0))="Planned",$E450&gt;0,INT($B450)&lt;=PlanDate+ROUNDUP(IF(ISNUMBER(SpikeHorizon),SpikeHorizon,INDEX(Buffers!$D:$D,MATCH($H450,Buffers!$AE:$AE,0))),0),$E450&gt;=SpikePct*INDEX(Buffers!$P:$P,MATCH($H450,Buffers!$AE:$AE,0))),"Spike","Not qualified"))))))</f>
        <v/>
      </c>
      <c r="G450" s="8" t="str">
        <f aca="false">IF($A450="","",IF(OR($F450="Past due",$F450="Due today",$F450="Spike"),$C450,0))</f>
        <v/>
      </c>
      <c r="H450" s="8" t="str">
        <f aca="false">IF($A450="","",SUBSTITUTE(SUBSTITUTE(SUBSTITUTE($A450&amp;"","~","~~"),"*","~*"),"?","~?"))</f>
        <v/>
      </c>
    </row>
    <row r="451" customFormat="false" ht="15" hidden="false" customHeight="false" outlineLevel="0" collapsed="false">
      <c r="A451" s="11"/>
      <c r="B451" s="6"/>
      <c r="C451" s="11"/>
      <c r="D451" s="11"/>
      <c r="E451" s="8" t="str">
        <f aca="false">IF($A451="","",SUMIFS($C:$C,$A:$A,$H451,$B:$B,"&gt;="&amp;INT($B451),$B:$B,"&lt;"&amp;(INT($B451)+1)))</f>
        <v/>
      </c>
      <c r="F451" s="19" t="str">
        <f aca="false">IF($A451="","",IF(ISNA(MATCH($H451,Buffers!$AE:$AE,0)),"Not on Buffers",IF(NOT(ISNUMBER($B451)),"Needs a date",IF(INT($B451)&lt;PlanDate,"Past due",IF(INT($B451)=PlanDate,"Due today",IF(AND(INDEX(Buffers!$L:$L,MATCH($H451,Buffers!$AE:$AE,0))="Planned",$E451&gt;0,INT($B451)&lt;=PlanDate+ROUNDUP(IF(ISNUMBER(SpikeHorizon),SpikeHorizon,INDEX(Buffers!$D:$D,MATCH($H451,Buffers!$AE:$AE,0))),0),$E451&gt;=SpikePct*INDEX(Buffers!$P:$P,MATCH($H451,Buffers!$AE:$AE,0))),"Spike","Not qualified"))))))</f>
        <v/>
      </c>
      <c r="G451" s="8" t="str">
        <f aca="false">IF($A451="","",IF(OR($F451="Past due",$F451="Due today",$F451="Spike"),$C451,0))</f>
        <v/>
      </c>
      <c r="H451" s="8" t="str">
        <f aca="false">IF($A451="","",SUBSTITUTE(SUBSTITUTE(SUBSTITUTE($A451&amp;"","~","~~"),"*","~*"),"?","~?"))</f>
        <v/>
      </c>
    </row>
    <row r="452" customFormat="false" ht="15" hidden="false" customHeight="false" outlineLevel="0" collapsed="false">
      <c r="A452" s="11"/>
      <c r="B452" s="6"/>
      <c r="C452" s="11"/>
      <c r="D452" s="11"/>
      <c r="E452" s="8" t="str">
        <f aca="false">IF($A452="","",SUMIFS($C:$C,$A:$A,$H452,$B:$B,"&gt;="&amp;INT($B452),$B:$B,"&lt;"&amp;(INT($B452)+1)))</f>
        <v/>
      </c>
      <c r="F452" s="19" t="str">
        <f aca="false">IF($A452="","",IF(ISNA(MATCH($H452,Buffers!$AE:$AE,0)),"Not on Buffers",IF(NOT(ISNUMBER($B452)),"Needs a date",IF(INT($B452)&lt;PlanDate,"Past due",IF(INT($B452)=PlanDate,"Due today",IF(AND(INDEX(Buffers!$L:$L,MATCH($H452,Buffers!$AE:$AE,0))="Planned",$E452&gt;0,INT($B452)&lt;=PlanDate+ROUNDUP(IF(ISNUMBER(SpikeHorizon),SpikeHorizon,INDEX(Buffers!$D:$D,MATCH($H452,Buffers!$AE:$AE,0))),0),$E452&gt;=SpikePct*INDEX(Buffers!$P:$P,MATCH($H452,Buffers!$AE:$AE,0))),"Spike","Not qualified"))))))</f>
        <v/>
      </c>
      <c r="G452" s="8" t="str">
        <f aca="false">IF($A452="","",IF(OR($F452="Past due",$F452="Due today",$F452="Spike"),$C452,0))</f>
        <v/>
      </c>
      <c r="H452" s="8" t="str">
        <f aca="false">IF($A452="","",SUBSTITUTE(SUBSTITUTE(SUBSTITUTE($A452&amp;"","~","~~"),"*","~*"),"?","~?"))</f>
        <v/>
      </c>
    </row>
    <row r="453" customFormat="false" ht="15" hidden="false" customHeight="false" outlineLevel="0" collapsed="false">
      <c r="A453" s="11"/>
      <c r="B453" s="6"/>
      <c r="C453" s="11"/>
      <c r="D453" s="11"/>
      <c r="E453" s="8" t="str">
        <f aca="false">IF($A453="","",SUMIFS($C:$C,$A:$A,$H453,$B:$B,"&gt;="&amp;INT($B453),$B:$B,"&lt;"&amp;(INT($B453)+1)))</f>
        <v/>
      </c>
      <c r="F453" s="19" t="str">
        <f aca="false">IF($A453="","",IF(ISNA(MATCH($H453,Buffers!$AE:$AE,0)),"Not on Buffers",IF(NOT(ISNUMBER($B453)),"Needs a date",IF(INT($B453)&lt;PlanDate,"Past due",IF(INT($B453)=PlanDate,"Due today",IF(AND(INDEX(Buffers!$L:$L,MATCH($H453,Buffers!$AE:$AE,0))="Planned",$E453&gt;0,INT($B453)&lt;=PlanDate+ROUNDUP(IF(ISNUMBER(SpikeHorizon),SpikeHorizon,INDEX(Buffers!$D:$D,MATCH($H453,Buffers!$AE:$AE,0))),0),$E453&gt;=SpikePct*INDEX(Buffers!$P:$P,MATCH($H453,Buffers!$AE:$AE,0))),"Spike","Not qualified"))))))</f>
        <v/>
      </c>
      <c r="G453" s="8" t="str">
        <f aca="false">IF($A453="","",IF(OR($F453="Past due",$F453="Due today",$F453="Spike"),$C453,0))</f>
        <v/>
      </c>
      <c r="H453" s="8" t="str">
        <f aca="false">IF($A453="","",SUBSTITUTE(SUBSTITUTE(SUBSTITUTE($A453&amp;"","~","~~"),"*","~*"),"?","~?"))</f>
        <v/>
      </c>
    </row>
    <row r="454" customFormat="false" ht="15" hidden="false" customHeight="false" outlineLevel="0" collapsed="false">
      <c r="A454" s="11"/>
      <c r="B454" s="6"/>
      <c r="C454" s="11"/>
      <c r="D454" s="11"/>
      <c r="E454" s="8" t="str">
        <f aca="false">IF($A454="","",SUMIFS($C:$C,$A:$A,$H454,$B:$B,"&gt;="&amp;INT($B454),$B:$B,"&lt;"&amp;(INT($B454)+1)))</f>
        <v/>
      </c>
      <c r="F454" s="19" t="str">
        <f aca="false">IF($A454="","",IF(ISNA(MATCH($H454,Buffers!$AE:$AE,0)),"Not on Buffers",IF(NOT(ISNUMBER($B454)),"Needs a date",IF(INT($B454)&lt;PlanDate,"Past due",IF(INT($B454)=PlanDate,"Due today",IF(AND(INDEX(Buffers!$L:$L,MATCH($H454,Buffers!$AE:$AE,0))="Planned",$E454&gt;0,INT($B454)&lt;=PlanDate+ROUNDUP(IF(ISNUMBER(SpikeHorizon),SpikeHorizon,INDEX(Buffers!$D:$D,MATCH($H454,Buffers!$AE:$AE,0))),0),$E454&gt;=SpikePct*INDEX(Buffers!$P:$P,MATCH($H454,Buffers!$AE:$AE,0))),"Spike","Not qualified"))))))</f>
        <v/>
      </c>
      <c r="G454" s="8" t="str">
        <f aca="false">IF($A454="","",IF(OR($F454="Past due",$F454="Due today",$F454="Spike"),$C454,0))</f>
        <v/>
      </c>
      <c r="H454" s="8" t="str">
        <f aca="false">IF($A454="","",SUBSTITUTE(SUBSTITUTE(SUBSTITUTE($A454&amp;"","~","~~"),"*","~*"),"?","~?"))</f>
        <v/>
      </c>
    </row>
    <row r="455" customFormat="false" ht="15" hidden="false" customHeight="false" outlineLevel="0" collapsed="false">
      <c r="A455" s="11"/>
      <c r="B455" s="6"/>
      <c r="C455" s="11"/>
      <c r="D455" s="11"/>
      <c r="E455" s="8" t="str">
        <f aca="false">IF($A455="","",SUMIFS($C:$C,$A:$A,$H455,$B:$B,"&gt;="&amp;INT($B455),$B:$B,"&lt;"&amp;(INT($B455)+1)))</f>
        <v/>
      </c>
      <c r="F455" s="19" t="str">
        <f aca="false">IF($A455="","",IF(ISNA(MATCH($H455,Buffers!$AE:$AE,0)),"Not on Buffers",IF(NOT(ISNUMBER($B455)),"Needs a date",IF(INT($B455)&lt;PlanDate,"Past due",IF(INT($B455)=PlanDate,"Due today",IF(AND(INDEX(Buffers!$L:$L,MATCH($H455,Buffers!$AE:$AE,0))="Planned",$E455&gt;0,INT($B455)&lt;=PlanDate+ROUNDUP(IF(ISNUMBER(SpikeHorizon),SpikeHorizon,INDEX(Buffers!$D:$D,MATCH($H455,Buffers!$AE:$AE,0))),0),$E455&gt;=SpikePct*INDEX(Buffers!$P:$P,MATCH($H455,Buffers!$AE:$AE,0))),"Spike","Not qualified"))))))</f>
        <v/>
      </c>
      <c r="G455" s="8" t="str">
        <f aca="false">IF($A455="","",IF(OR($F455="Past due",$F455="Due today",$F455="Spike"),$C455,0))</f>
        <v/>
      </c>
      <c r="H455" s="8" t="str">
        <f aca="false">IF($A455="","",SUBSTITUTE(SUBSTITUTE(SUBSTITUTE($A455&amp;"","~","~~"),"*","~*"),"?","~?"))</f>
        <v/>
      </c>
    </row>
    <row r="456" customFormat="false" ht="15" hidden="false" customHeight="false" outlineLevel="0" collapsed="false">
      <c r="A456" s="11"/>
      <c r="B456" s="6"/>
      <c r="C456" s="11"/>
      <c r="D456" s="11"/>
      <c r="E456" s="8" t="str">
        <f aca="false">IF($A456="","",SUMIFS($C:$C,$A:$A,$H456,$B:$B,"&gt;="&amp;INT($B456),$B:$B,"&lt;"&amp;(INT($B456)+1)))</f>
        <v/>
      </c>
      <c r="F456" s="19" t="str">
        <f aca="false">IF($A456="","",IF(ISNA(MATCH($H456,Buffers!$AE:$AE,0)),"Not on Buffers",IF(NOT(ISNUMBER($B456)),"Needs a date",IF(INT($B456)&lt;PlanDate,"Past due",IF(INT($B456)=PlanDate,"Due today",IF(AND(INDEX(Buffers!$L:$L,MATCH($H456,Buffers!$AE:$AE,0))="Planned",$E456&gt;0,INT($B456)&lt;=PlanDate+ROUNDUP(IF(ISNUMBER(SpikeHorizon),SpikeHorizon,INDEX(Buffers!$D:$D,MATCH($H456,Buffers!$AE:$AE,0))),0),$E456&gt;=SpikePct*INDEX(Buffers!$P:$P,MATCH($H456,Buffers!$AE:$AE,0))),"Spike","Not qualified"))))))</f>
        <v/>
      </c>
      <c r="G456" s="8" t="str">
        <f aca="false">IF($A456="","",IF(OR($F456="Past due",$F456="Due today",$F456="Spike"),$C456,0))</f>
        <v/>
      </c>
      <c r="H456" s="8" t="str">
        <f aca="false">IF($A456="","",SUBSTITUTE(SUBSTITUTE(SUBSTITUTE($A456&amp;"","~","~~"),"*","~*"),"?","~?"))</f>
        <v/>
      </c>
    </row>
    <row r="457" customFormat="false" ht="15" hidden="false" customHeight="false" outlineLevel="0" collapsed="false">
      <c r="A457" s="11"/>
      <c r="B457" s="6"/>
      <c r="C457" s="11"/>
      <c r="D457" s="11"/>
      <c r="E457" s="8" t="str">
        <f aca="false">IF($A457="","",SUMIFS($C:$C,$A:$A,$H457,$B:$B,"&gt;="&amp;INT($B457),$B:$B,"&lt;"&amp;(INT($B457)+1)))</f>
        <v/>
      </c>
      <c r="F457" s="19" t="str">
        <f aca="false">IF($A457="","",IF(ISNA(MATCH($H457,Buffers!$AE:$AE,0)),"Not on Buffers",IF(NOT(ISNUMBER($B457)),"Needs a date",IF(INT($B457)&lt;PlanDate,"Past due",IF(INT($B457)=PlanDate,"Due today",IF(AND(INDEX(Buffers!$L:$L,MATCH($H457,Buffers!$AE:$AE,0))="Planned",$E457&gt;0,INT($B457)&lt;=PlanDate+ROUNDUP(IF(ISNUMBER(SpikeHorizon),SpikeHorizon,INDEX(Buffers!$D:$D,MATCH($H457,Buffers!$AE:$AE,0))),0),$E457&gt;=SpikePct*INDEX(Buffers!$P:$P,MATCH($H457,Buffers!$AE:$AE,0))),"Spike","Not qualified"))))))</f>
        <v/>
      </c>
      <c r="G457" s="8" t="str">
        <f aca="false">IF($A457="","",IF(OR($F457="Past due",$F457="Due today",$F457="Spike"),$C457,0))</f>
        <v/>
      </c>
      <c r="H457" s="8" t="str">
        <f aca="false">IF($A457="","",SUBSTITUTE(SUBSTITUTE(SUBSTITUTE($A457&amp;"","~","~~"),"*","~*"),"?","~?"))</f>
        <v/>
      </c>
    </row>
    <row r="458" customFormat="false" ht="15" hidden="false" customHeight="false" outlineLevel="0" collapsed="false">
      <c r="A458" s="11"/>
      <c r="B458" s="6"/>
      <c r="C458" s="11"/>
      <c r="D458" s="11"/>
      <c r="E458" s="8" t="str">
        <f aca="false">IF($A458="","",SUMIFS($C:$C,$A:$A,$H458,$B:$B,"&gt;="&amp;INT($B458),$B:$B,"&lt;"&amp;(INT($B458)+1)))</f>
        <v/>
      </c>
      <c r="F458" s="19" t="str">
        <f aca="false">IF($A458="","",IF(ISNA(MATCH($H458,Buffers!$AE:$AE,0)),"Not on Buffers",IF(NOT(ISNUMBER($B458)),"Needs a date",IF(INT($B458)&lt;PlanDate,"Past due",IF(INT($B458)=PlanDate,"Due today",IF(AND(INDEX(Buffers!$L:$L,MATCH($H458,Buffers!$AE:$AE,0))="Planned",$E458&gt;0,INT($B458)&lt;=PlanDate+ROUNDUP(IF(ISNUMBER(SpikeHorizon),SpikeHorizon,INDEX(Buffers!$D:$D,MATCH($H458,Buffers!$AE:$AE,0))),0),$E458&gt;=SpikePct*INDEX(Buffers!$P:$P,MATCH($H458,Buffers!$AE:$AE,0))),"Spike","Not qualified"))))))</f>
        <v/>
      </c>
      <c r="G458" s="8" t="str">
        <f aca="false">IF($A458="","",IF(OR($F458="Past due",$F458="Due today",$F458="Spike"),$C458,0))</f>
        <v/>
      </c>
      <c r="H458" s="8" t="str">
        <f aca="false">IF($A458="","",SUBSTITUTE(SUBSTITUTE(SUBSTITUTE($A458&amp;"","~","~~"),"*","~*"),"?","~?"))</f>
        <v/>
      </c>
    </row>
    <row r="459" customFormat="false" ht="15" hidden="false" customHeight="false" outlineLevel="0" collapsed="false">
      <c r="A459" s="11"/>
      <c r="B459" s="6"/>
      <c r="C459" s="11"/>
      <c r="D459" s="11"/>
      <c r="E459" s="8" t="str">
        <f aca="false">IF($A459="","",SUMIFS($C:$C,$A:$A,$H459,$B:$B,"&gt;="&amp;INT($B459),$B:$B,"&lt;"&amp;(INT($B459)+1)))</f>
        <v/>
      </c>
      <c r="F459" s="19" t="str">
        <f aca="false">IF($A459="","",IF(ISNA(MATCH($H459,Buffers!$AE:$AE,0)),"Not on Buffers",IF(NOT(ISNUMBER($B459)),"Needs a date",IF(INT($B459)&lt;PlanDate,"Past due",IF(INT($B459)=PlanDate,"Due today",IF(AND(INDEX(Buffers!$L:$L,MATCH($H459,Buffers!$AE:$AE,0))="Planned",$E459&gt;0,INT($B459)&lt;=PlanDate+ROUNDUP(IF(ISNUMBER(SpikeHorizon),SpikeHorizon,INDEX(Buffers!$D:$D,MATCH($H459,Buffers!$AE:$AE,0))),0),$E459&gt;=SpikePct*INDEX(Buffers!$P:$P,MATCH($H459,Buffers!$AE:$AE,0))),"Spike","Not qualified"))))))</f>
        <v/>
      </c>
      <c r="G459" s="8" t="str">
        <f aca="false">IF($A459="","",IF(OR($F459="Past due",$F459="Due today",$F459="Spike"),$C459,0))</f>
        <v/>
      </c>
      <c r="H459" s="8" t="str">
        <f aca="false">IF($A459="","",SUBSTITUTE(SUBSTITUTE(SUBSTITUTE($A459&amp;"","~","~~"),"*","~*"),"?","~?"))</f>
        <v/>
      </c>
    </row>
    <row r="460" customFormat="false" ht="15" hidden="false" customHeight="false" outlineLevel="0" collapsed="false">
      <c r="A460" s="11"/>
      <c r="B460" s="6"/>
      <c r="C460" s="11"/>
      <c r="D460" s="11"/>
      <c r="E460" s="8" t="str">
        <f aca="false">IF($A460="","",SUMIFS($C:$C,$A:$A,$H460,$B:$B,"&gt;="&amp;INT($B460),$B:$B,"&lt;"&amp;(INT($B460)+1)))</f>
        <v/>
      </c>
      <c r="F460" s="19" t="str">
        <f aca="false">IF($A460="","",IF(ISNA(MATCH($H460,Buffers!$AE:$AE,0)),"Not on Buffers",IF(NOT(ISNUMBER($B460)),"Needs a date",IF(INT($B460)&lt;PlanDate,"Past due",IF(INT($B460)=PlanDate,"Due today",IF(AND(INDEX(Buffers!$L:$L,MATCH($H460,Buffers!$AE:$AE,0))="Planned",$E460&gt;0,INT($B460)&lt;=PlanDate+ROUNDUP(IF(ISNUMBER(SpikeHorizon),SpikeHorizon,INDEX(Buffers!$D:$D,MATCH($H460,Buffers!$AE:$AE,0))),0),$E460&gt;=SpikePct*INDEX(Buffers!$P:$P,MATCH($H460,Buffers!$AE:$AE,0))),"Spike","Not qualified"))))))</f>
        <v/>
      </c>
      <c r="G460" s="8" t="str">
        <f aca="false">IF($A460="","",IF(OR($F460="Past due",$F460="Due today",$F460="Spike"),$C460,0))</f>
        <v/>
      </c>
      <c r="H460" s="8" t="str">
        <f aca="false">IF($A460="","",SUBSTITUTE(SUBSTITUTE(SUBSTITUTE($A460&amp;"","~","~~"),"*","~*"),"?","~?"))</f>
        <v/>
      </c>
    </row>
    <row r="461" customFormat="false" ht="15" hidden="false" customHeight="false" outlineLevel="0" collapsed="false">
      <c r="A461" s="11"/>
      <c r="B461" s="6"/>
      <c r="C461" s="11"/>
      <c r="D461" s="11"/>
      <c r="E461" s="8" t="str">
        <f aca="false">IF($A461="","",SUMIFS($C:$C,$A:$A,$H461,$B:$B,"&gt;="&amp;INT($B461),$B:$B,"&lt;"&amp;(INT($B461)+1)))</f>
        <v/>
      </c>
      <c r="F461" s="19" t="str">
        <f aca="false">IF($A461="","",IF(ISNA(MATCH($H461,Buffers!$AE:$AE,0)),"Not on Buffers",IF(NOT(ISNUMBER($B461)),"Needs a date",IF(INT($B461)&lt;PlanDate,"Past due",IF(INT($B461)=PlanDate,"Due today",IF(AND(INDEX(Buffers!$L:$L,MATCH($H461,Buffers!$AE:$AE,0))="Planned",$E461&gt;0,INT($B461)&lt;=PlanDate+ROUNDUP(IF(ISNUMBER(SpikeHorizon),SpikeHorizon,INDEX(Buffers!$D:$D,MATCH($H461,Buffers!$AE:$AE,0))),0),$E461&gt;=SpikePct*INDEX(Buffers!$P:$P,MATCH($H461,Buffers!$AE:$AE,0))),"Spike","Not qualified"))))))</f>
        <v/>
      </c>
      <c r="G461" s="8" t="str">
        <f aca="false">IF($A461="","",IF(OR($F461="Past due",$F461="Due today",$F461="Spike"),$C461,0))</f>
        <v/>
      </c>
      <c r="H461" s="8" t="str">
        <f aca="false">IF($A461="","",SUBSTITUTE(SUBSTITUTE(SUBSTITUTE($A461&amp;"","~","~~"),"*","~*"),"?","~?"))</f>
        <v/>
      </c>
    </row>
    <row r="462" customFormat="false" ht="15" hidden="false" customHeight="false" outlineLevel="0" collapsed="false">
      <c r="A462" s="11"/>
      <c r="B462" s="6"/>
      <c r="C462" s="11"/>
      <c r="D462" s="11"/>
      <c r="E462" s="8" t="str">
        <f aca="false">IF($A462="","",SUMIFS($C:$C,$A:$A,$H462,$B:$B,"&gt;="&amp;INT($B462),$B:$B,"&lt;"&amp;(INT($B462)+1)))</f>
        <v/>
      </c>
      <c r="F462" s="19" t="str">
        <f aca="false">IF($A462="","",IF(ISNA(MATCH($H462,Buffers!$AE:$AE,0)),"Not on Buffers",IF(NOT(ISNUMBER($B462)),"Needs a date",IF(INT($B462)&lt;PlanDate,"Past due",IF(INT($B462)=PlanDate,"Due today",IF(AND(INDEX(Buffers!$L:$L,MATCH($H462,Buffers!$AE:$AE,0))="Planned",$E462&gt;0,INT($B462)&lt;=PlanDate+ROUNDUP(IF(ISNUMBER(SpikeHorizon),SpikeHorizon,INDEX(Buffers!$D:$D,MATCH($H462,Buffers!$AE:$AE,0))),0),$E462&gt;=SpikePct*INDEX(Buffers!$P:$P,MATCH($H462,Buffers!$AE:$AE,0))),"Spike","Not qualified"))))))</f>
        <v/>
      </c>
      <c r="G462" s="8" t="str">
        <f aca="false">IF($A462="","",IF(OR($F462="Past due",$F462="Due today",$F462="Spike"),$C462,0))</f>
        <v/>
      </c>
      <c r="H462" s="8" t="str">
        <f aca="false">IF($A462="","",SUBSTITUTE(SUBSTITUTE(SUBSTITUTE($A462&amp;"","~","~~"),"*","~*"),"?","~?"))</f>
        <v/>
      </c>
    </row>
    <row r="463" customFormat="false" ht="15" hidden="false" customHeight="false" outlineLevel="0" collapsed="false">
      <c r="A463" s="11"/>
      <c r="B463" s="6"/>
      <c r="C463" s="11"/>
      <c r="D463" s="11"/>
      <c r="E463" s="8" t="str">
        <f aca="false">IF($A463="","",SUMIFS($C:$C,$A:$A,$H463,$B:$B,"&gt;="&amp;INT($B463),$B:$B,"&lt;"&amp;(INT($B463)+1)))</f>
        <v/>
      </c>
      <c r="F463" s="19" t="str">
        <f aca="false">IF($A463="","",IF(ISNA(MATCH($H463,Buffers!$AE:$AE,0)),"Not on Buffers",IF(NOT(ISNUMBER($B463)),"Needs a date",IF(INT($B463)&lt;PlanDate,"Past due",IF(INT($B463)=PlanDate,"Due today",IF(AND(INDEX(Buffers!$L:$L,MATCH($H463,Buffers!$AE:$AE,0))="Planned",$E463&gt;0,INT($B463)&lt;=PlanDate+ROUNDUP(IF(ISNUMBER(SpikeHorizon),SpikeHorizon,INDEX(Buffers!$D:$D,MATCH($H463,Buffers!$AE:$AE,0))),0),$E463&gt;=SpikePct*INDEX(Buffers!$P:$P,MATCH($H463,Buffers!$AE:$AE,0))),"Spike","Not qualified"))))))</f>
        <v/>
      </c>
      <c r="G463" s="8" t="str">
        <f aca="false">IF($A463="","",IF(OR($F463="Past due",$F463="Due today",$F463="Spike"),$C463,0))</f>
        <v/>
      </c>
      <c r="H463" s="8" t="str">
        <f aca="false">IF($A463="","",SUBSTITUTE(SUBSTITUTE(SUBSTITUTE($A463&amp;"","~","~~"),"*","~*"),"?","~?"))</f>
        <v/>
      </c>
    </row>
    <row r="464" customFormat="false" ht="15" hidden="false" customHeight="false" outlineLevel="0" collapsed="false">
      <c r="A464" s="11"/>
      <c r="B464" s="6"/>
      <c r="C464" s="11"/>
      <c r="D464" s="11"/>
      <c r="E464" s="8" t="str">
        <f aca="false">IF($A464="","",SUMIFS($C:$C,$A:$A,$H464,$B:$B,"&gt;="&amp;INT($B464),$B:$B,"&lt;"&amp;(INT($B464)+1)))</f>
        <v/>
      </c>
      <c r="F464" s="19" t="str">
        <f aca="false">IF($A464="","",IF(ISNA(MATCH($H464,Buffers!$AE:$AE,0)),"Not on Buffers",IF(NOT(ISNUMBER($B464)),"Needs a date",IF(INT($B464)&lt;PlanDate,"Past due",IF(INT($B464)=PlanDate,"Due today",IF(AND(INDEX(Buffers!$L:$L,MATCH($H464,Buffers!$AE:$AE,0))="Planned",$E464&gt;0,INT($B464)&lt;=PlanDate+ROUNDUP(IF(ISNUMBER(SpikeHorizon),SpikeHorizon,INDEX(Buffers!$D:$D,MATCH($H464,Buffers!$AE:$AE,0))),0),$E464&gt;=SpikePct*INDEX(Buffers!$P:$P,MATCH($H464,Buffers!$AE:$AE,0))),"Spike","Not qualified"))))))</f>
        <v/>
      </c>
      <c r="G464" s="8" t="str">
        <f aca="false">IF($A464="","",IF(OR($F464="Past due",$F464="Due today",$F464="Spike"),$C464,0))</f>
        <v/>
      </c>
      <c r="H464" s="8" t="str">
        <f aca="false">IF($A464="","",SUBSTITUTE(SUBSTITUTE(SUBSTITUTE($A464&amp;"","~","~~"),"*","~*"),"?","~?"))</f>
        <v/>
      </c>
    </row>
    <row r="465" customFormat="false" ht="15" hidden="false" customHeight="false" outlineLevel="0" collapsed="false">
      <c r="A465" s="11"/>
      <c r="B465" s="6"/>
      <c r="C465" s="11"/>
      <c r="D465" s="11"/>
      <c r="E465" s="8" t="str">
        <f aca="false">IF($A465="","",SUMIFS($C:$C,$A:$A,$H465,$B:$B,"&gt;="&amp;INT($B465),$B:$B,"&lt;"&amp;(INT($B465)+1)))</f>
        <v/>
      </c>
      <c r="F465" s="19" t="str">
        <f aca="false">IF($A465="","",IF(ISNA(MATCH($H465,Buffers!$AE:$AE,0)),"Not on Buffers",IF(NOT(ISNUMBER($B465)),"Needs a date",IF(INT($B465)&lt;PlanDate,"Past due",IF(INT($B465)=PlanDate,"Due today",IF(AND(INDEX(Buffers!$L:$L,MATCH($H465,Buffers!$AE:$AE,0))="Planned",$E465&gt;0,INT($B465)&lt;=PlanDate+ROUNDUP(IF(ISNUMBER(SpikeHorizon),SpikeHorizon,INDEX(Buffers!$D:$D,MATCH($H465,Buffers!$AE:$AE,0))),0),$E465&gt;=SpikePct*INDEX(Buffers!$P:$P,MATCH($H465,Buffers!$AE:$AE,0))),"Spike","Not qualified"))))))</f>
        <v/>
      </c>
      <c r="G465" s="8" t="str">
        <f aca="false">IF($A465="","",IF(OR($F465="Past due",$F465="Due today",$F465="Spike"),$C465,0))</f>
        <v/>
      </c>
      <c r="H465" s="8" t="str">
        <f aca="false">IF($A465="","",SUBSTITUTE(SUBSTITUTE(SUBSTITUTE($A465&amp;"","~","~~"),"*","~*"),"?","~?"))</f>
        <v/>
      </c>
    </row>
    <row r="466" customFormat="false" ht="15" hidden="false" customHeight="false" outlineLevel="0" collapsed="false">
      <c r="A466" s="11"/>
      <c r="B466" s="6"/>
      <c r="C466" s="11"/>
      <c r="D466" s="11"/>
      <c r="E466" s="8" t="str">
        <f aca="false">IF($A466="","",SUMIFS($C:$C,$A:$A,$H466,$B:$B,"&gt;="&amp;INT($B466),$B:$B,"&lt;"&amp;(INT($B466)+1)))</f>
        <v/>
      </c>
      <c r="F466" s="19" t="str">
        <f aca="false">IF($A466="","",IF(ISNA(MATCH($H466,Buffers!$AE:$AE,0)),"Not on Buffers",IF(NOT(ISNUMBER($B466)),"Needs a date",IF(INT($B466)&lt;PlanDate,"Past due",IF(INT($B466)=PlanDate,"Due today",IF(AND(INDEX(Buffers!$L:$L,MATCH($H466,Buffers!$AE:$AE,0))="Planned",$E466&gt;0,INT($B466)&lt;=PlanDate+ROUNDUP(IF(ISNUMBER(SpikeHorizon),SpikeHorizon,INDEX(Buffers!$D:$D,MATCH($H466,Buffers!$AE:$AE,0))),0),$E466&gt;=SpikePct*INDEX(Buffers!$P:$P,MATCH($H466,Buffers!$AE:$AE,0))),"Spike","Not qualified"))))))</f>
        <v/>
      </c>
      <c r="G466" s="8" t="str">
        <f aca="false">IF($A466="","",IF(OR($F466="Past due",$F466="Due today",$F466="Spike"),$C466,0))</f>
        <v/>
      </c>
      <c r="H466" s="8" t="str">
        <f aca="false">IF($A466="","",SUBSTITUTE(SUBSTITUTE(SUBSTITUTE($A466&amp;"","~","~~"),"*","~*"),"?","~?"))</f>
        <v/>
      </c>
    </row>
    <row r="467" customFormat="false" ht="15" hidden="false" customHeight="false" outlineLevel="0" collapsed="false">
      <c r="A467" s="11"/>
      <c r="B467" s="6"/>
      <c r="C467" s="11"/>
      <c r="D467" s="11"/>
      <c r="E467" s="8" t="str">
        <f aca="false">IF($A467="","",SUMIFS($C:$C,$A:$A,$H467,$B:$B,"&gt;="&amp;INT($B467),$B:$B,"&lt;"&amp;(INT($B467)+1)))</f>
        <v/>
      </c>
      <c r="F467" s="19" t="str">
        <f aca="false">IF($A467="","",IF(ISNA(MATCH($H467,Buffers!$AE:$AE,0)),"Not on Buffers",IF(NOT(ISNUMBER($B467)),"Needs a date",IF(INT($B467)&lt;PlanDate,"Past due",IF(INT($B467)=PlanDate,"Due today",IF(AND(INDEX(Buffers!$L:$L,MATCH($H467,Buffers!$AE:$AE,0))="Planned",$E467&gt;0,INT($B467)&lt;=PlanDate+ROUNDUP(IF(ISNUMBER(SpikeHorizon),SpikeHorizon,INDEX(Buffers!$D:$D,MATCH($H467,Buffers!$AE:$AE,0))),0),$E467&gt;=SpikePct*INDEX(Buffers!$P:$P,MATCH($H467,Buffers!$AE:$AE,0))),"Spike","Not qualified"))))))</f>
        <v/>
      </c>
      <c r="G467" s="8" t="str">
        <f aca="false">IF($A467="","",IF(OR($F467="Past due",$F467="Due today",$F467="Spike"),$C467,0))</f>
        <v/>
      </c>
      <c r="H467" s="8" t="str">
        <f aca="false">IF($A467="","",SUBSTITUTE(SUBSTITUTE(SUBSTITUTE($A467&amp;"","~","~~"),"*","~*"),"?","~?"))</f>
        <v/>
      </c>
    </row>
    <row r="468" customFormat="false" ht="15" hidden="false" customHeight="false" outlineLevel="0" collapsed="false">
      <c r="A468" s="11"/>
      <c r="B468" s="6"/>
      <c r="C468" s="11"/>
      <c r="D468" s="11"/>
      <c r="E468" s="8" t="str">
        <f aca="false">IF($A468="","",SUMIFS($C:$C,$A:$A,$H468,$B:$B,"&gt;="&amp;INT($B468),$B:$B,"&lt;"&amp;(INT($B468)+1)))</f>
        <v/>
      </c>
      <c r="F468" s="19" t="str">
        <f aca="false">IF($A468="","",IF(ISNA(MATCH($H468,Buffers!$AE:$AE,0)),"Not on Buffers",IF(NOT(ISNUMBER($B468)),"Needs a date",IF(INT($B468)&lt;PlanDate,"Past due",IF(INT($B468)=PlanDate,"Due today",IF(AND(INDEX(Buffers!$L:$L,MATCH($H468,Buffers!$AE:$AE,0))="Planned",$E468&gt;0,INT($B468)&lt;=PlanDate+ROUNDUP(IF(ISNUMBER(SpikeHorizon),SpikeHorizon,INDEX(Buffers!$D:$D,MATCH($H468,Buffers!$AE:$AE,0))),0),$E468&gt;=SpikePct*INDEX(Buffers!$P:$P,MATCH($H468,Buffers!$AE:$AE,0))),"Spike","Not qualified"))))))</f>
        <v/>
      </c>
      <c r="G468" s="8" t="str">
        <f aca="false">IF($A468="","",IF(OR($F468="Past due",$F468="Due today",$F468="Spike"),$C468,0))</f>
        <v/>
      </c>
      <c r="H468" s="8" t="str">
        <f aca="false">IF($A468="","",SUBSTITUTE(SUBSTITUTE(SUBSTITUTE($A468&amp;"","~","~~"),"*","~*"),"?","~?"))</f>
        <v/>
      </c>
    </row>
    <row r="469" customFormat="false" ht="15" hidden="false" customHeight="false" outlineLevel="0" collapsed="false">
      <c r="A469" s="11"/>
      <c r="B469" s="6"/>
      <c r="C469" s="11"/>
      <c r="D469" s="11"/>
      <c r="E469" s="8" t="str">
        <f aca="false">IF($A469="","",SUMIFS($C:$C,$A:$A,$H469,$B:$B,"&gt;="&amp;INT($B469),$B:$B,"&lt;"&amp;(INT($B469)+1)))</f>
        <v/>
      </c>
      <c r="F469" s="19" t="str">
        <f aca="false">IF($A469="","",IF(ISNA(MATCH($H469,Buffers!$AE:$AE,0)),"Not on Buffers",IF(NOT(ISNUMBER($B469)),"Needs a date",IF(INT($B469)&lt;PlanDate,"Past due",IF(INT($B469)=PlanDate,"Due today",IF(AND(INDEX(Buffers!$L:$L,MATCH($H469,Buffers!$AE:$AE,0))="Planned",$E469&gt;0,INT($B469)&lt;=PlanDate+ROUNDUP(IF(ISNUMBER(SpikeHorizon),SpikeHorizon,INDEX(Buffers!$D:$D,MATCH($H469,Buffers!$AE:$AE,0))),0),$E469&gt;=SpikePct*INDEX(Buffers!$P:$P,MATCH($H469,Buffers!$AE:$AE,0))),"Spike","Not qualified"))))))</f>
        <v/>
      </c>
      <c r="G469" s="8" t="str">
        <f aca="false">IF($A469="","",IF(OR($F469="Past due",$F469="Due today",$F469="Spike"),$C469,0))</f>
        <v/>
      </c>
      <c r="H469" s="8" t="str">
        <f aca="false">IF($A469="","",SUBSTITUTE(SUBSTITUTE(SUBSTITUTE($A469&amp;"","~","~~"),"*","~*"),"?","~?"))</f>
        <v/>
      </c>
    </row>
    <row r="470" customFormat="false" ht="15" hidden="false" customHeight="false" outlineLevel="0" collapsed="false">
      <c r="A470" s="11"/>
      <c r="B470" s="6"/>
      <c r="C470" s="11"/>
      <c r="D470" s="11"/>
      <c r="E470" s="8" t="str">
        <f aca="false">IF($A470="","",SUMIFS($C:$C,$A:$A,$H470,$B:$B,"&gt;="&amp;INT($B470),$B:$B,"&lt;"&amp;(INT($B470)+1)))</f>
        <v/>
      </c>
      <c r="F470" s="19" t="str">
        <f aca="false">IF($A470="","",IF(ISNA(MATCH($H470,Buffers!$AE:$AE,0)),"Not on Buffers",IF(NOT(ISNUMBER($B470)),"Needs a date",IF(INT($B470)&lt;PlanDate,"Past due",IF(INT($B470)=PlanDate,"Due today",IF(AND(INDEX(Buffers!$L:$L,MATCH($H470,Buffers!$AE:$AE,0))="Planned",$E470&gt;0,INT($B470)&lt;=PlanDate+ROUNDUP(IF(ISNUMBER(SpikeHorizon),SpikeHorizon,INDEX(Buffers!$D:$D,MATCH($H470,Buffers!$AE:$AE,0))),0),$E470&gt;=SpikePct*INDEX(Buffers!$P:$P,MATCH($H470,Buffers!$AE:$AE,0))),"Spike","Not qualified"))))))</f>
        <v/>
      </c>
      <c r="G470" s="8" t="str">
        <f aca="false">IF($A470="","",IF(OR($F470="Past due",$F470="Due today",$F470="Spike"),$C470,0))</f>
        <v/>
      </c>
      <c r="H470" s="8" t="str">
        <f aca="false">IF($A470="","",SUBSTITUTE(SUBSTITUTE(SUBSTITUTE($A470&amp;"","~","~~"),"*","~*"),"?","~?"))</f>
        <v/>
      </c>
    </row>
    <row r="471" customFormat="false" ht="15" hidden="false" customHeight="false" outlineLevel="0" collapsed="false">
      <c r="A471" s="11"/>
      <c r="B471" s="6"/>
      <c r="C471" s="11"/>
      <c r="D471" s="11"/>
      <c r="E471" s="8" t="str">
        <f aca="false">IF($A471="","",SUMIFS($C:$C,$A:$A,$H471,$B:$B,"&gt;="&amp;INT($B471),$B:$B,"&lt;"&amp;(INT($B471)+1)))</f>
        <v/>
      </c>
      <c r="F471" s="19" t="str">
        <f aca="false">IF($A471="","",IF(ISNA(MATCH($H471,Buffers!$AE:$AE,0)),"Not on Buffers",IF(NOT(ISNUMBER($B471)),"Needs a date",IF(INT($B471)&lt;PlanDate,"Past due",IF(INT($B471)=PlanDate,"Due today",IF(AND(INDEX(Buffers!$L:$L,MATCH($H471,Buffers!$AE:$AE,0))="Planned",$E471&gt;0,INT($B471)&lt;=PlanDate+ROUNDUP(IF(ISNUMBER(SpikeHorizon),SpikeHorizon,INDEX(Buffers!$D:$D,MATCH($H471,Buffers!$AE:$AE,0))),0),$E471&gt;=SpikePct*INDEX(Buffers!$P:$P,MATCH($H471,Buffers!$AE:$AE,0))),"Spike","Not qualified"))))))</f>
        <v/>
      </c>
      <c r="G471" s="8" t="str">
        <f aca="false">IF($A471="","",IF(OR($F471="Past due",$F471="Due today",$F471="Spike"),$C471,0))</f>
        <v/>
      </c>
      <c r="H471" s="8" t="str">
        <f aca="false">IF($A471="","",SUBSTITUTE(SUBSTITUTE(SUBSTITUTE($A471&amp;"","~","~~"),"*","~*"),"?","~?"))</f>
        <v/>
      </c>
    </row>
    <row r="472" customFormat="false" ht="15" hidden="false" customHeight="false" outlineLevel="0" collapsed="false">
      <c r="A472" s="11"/>
      <c r="B472" s="6"/>
      <c r="C472" s="11"/>
      <c r="D472" s="11"/>
      <c r="E472" s="8" t="str">
        <f aca="false">IF($A472="","",SUMIFS($C:$C,$A:$A,$H472,$B:$B,"&gt;="&amp;INT($B472),$B:$B,"&lt;"&amp;(INT($B472)+1)))</f>
        <v/>
      </c>
      <c r="F472" s="19" t="str">
        <f aca="false">IF($A472="","",IF(ISNA(MATCH($H472,Buffers!$AE:$AE,0)),"Not on Buffers",IF(NOT(ISNUMBER($B472)),"Needs a date",IF(INT($B472)&lt;PlanDate,"Past due",IF(INT($B472)=PlanDate,"Due today",IF(AND(INDEX(Buffers!$L:$L,MATCH($H472,Buffers!$AE:$AE,0))="Planned",$E472&gt;0,INT($B472)&lt;=PlanDate+ROUNDUP(IF(ISNUMBER(SpikeHorizon),SpikeHorizon,INDEX(Buffers!$D:$D,MATCH($H472,Buffers!$AE:$AE,0))),0),$E472&gt;=SpikePct*INDEX(Buffers!$P:$P,MATCH($H472,Buffers!$AE:$AE,0))),"Spike","Not qualified"))))))</f>
        <v/>
      </c>
      <c r="G472" s="8" t="str">
        <f aca="false">IF($A472="","",IF(OR($F472="Past due",$F472="Due today",$F472="Spike"),$C472,0))</f>
        <v/>
      </c>
      <c r="H472" s="8" t="str">
        <f aca="false">IF($A472="","",SUBSTITUTE(SUBSTITUTE(SUBSTITUTE($A472&amp;"","~","~~"),"*","~*"),"?","~?"))</f>
        <v/>
      </c>
    </row>
    <row r="473" customFormat="false" ht="15" hidden="false" customHeight="false" outlineLevel="0" collapsed="false">
      <c r="A473" s="11"/>
      <c r="B473" s="6"/>
      <c r="C473" s="11"/>
      <c r="D473" s="11"/>
      <c r="E473" s="8" t="str">
        <f aca="false">IF($A473="","",SUMIFS($C:$C,$A:$A,$H473,$B:$B,"&gt;="&amp;INT($B473),$B:$B,"&lt;"&amp;(INT($B473)+1)))</f>
        <v/>
      </c>
      <c r="F473" s="19" t="str">
        <f aca="false">IF($A473="","",IF(ISNA(MATCH($H473,Buffers!$AE:$AE,0)),"Not on Buffers",IF(NOT(ISNUMBER($B473)),"Needs a date",IF(INT($B473)&lt;PlanDate,"Past due",IF(INT($B473)=PlanDate,"Due today",IF(AND(INDEX(Buffers!$L:$L,MATCH($H473,Buffers!$AE:$AE,0))="Planned",$E473&gt;0,INT($B473)&lt;=PlanDate+ROUNDUP(IF(ISNUMBER(SpikeHorizon),SpikeHorizon,INDEX(Buffers!$D:$D,MATCH($H473,Buffers!$AE:$AE,0))),0),$E473&gt;=SpikePct*INDEX(Buffers!$P:$P,MATCH($H473,Buffers!$AE:$AE,0))),"Spike","Not qualified"))))))</f>
        <v/>
      </c>
      <c r="G473" s="8" t="str">
        <f aca="false">IF($A473="","",IF(OR($F473="Past due",$F473="Due today",$F473="Spike"),$C473,0))</f>
        <v/>
      </c>
      <c r="H473" s="8" t="str">
        <f aca="false">IF($A473="","",SUBSTITUTE(SUBSTITUTE(SUBSTITUTE($A473&amp;"","~","~~"),"*","~*"),"?","~?"))</f>
        <v/>
      </c>
    </row>
    <row r="474" customFormat="false" ht="15" hidden="false" customHeight="false" outlineLevel="0" collapsed="false">
      <c r="A474" s="11"/>
      <c r="B474" s="6"/>
      <c r="C474" s="11"/>
      <c r="D474" s="11"/>
      <c r="E474" s="8" t="str">
        <f aca="false">IF($A474="","",SUMIFS($C:$C,$A:$A,$H474,$B:$B,"&gt;="&amp;INT($B474),$B:$B,"&lt;"&amp;(INT($B474)+1)))</f>
        <v/>
      </c>
      <c r="F474" s="19" t="str">
        <f aca="false">IF($A474="","",IF(ISNA(MATCH($H474,Buffers!$AE:$AE,0)),"Not on Buffers",IF(NOT(ISNUMBER($B474)),"Needs a date",IF(INT($B474)&lt;PlanDate,"Past due",IF(INT($B474)=PlanDate,"Due today",IF(AND(INDEX(Buffers!$L:$L,MATCH($H474,Buffers!$AE:$AE,0))="Planned",$E474&gt;0,INT($B474)&lt;=PlanDate+ROUNDUP(IF(ISNUMBER(SpikeHorizon),SpikeHorizon,INDEX(Buffers!$D:$D,MATCH($H474,Buffers!$AE:$AE,0))),0),$E474&gt;=SpikePct*INDEX(Buffers!$P:$P,MATCH($H474,Buffers!$AE:$AE,0))),"Spike","Not qualified"))))))</f>
        <v/>
      </c>
      <c r="G474" s="8" t="str">
        <f aca="false">IF($A474="","",IF(OR($F474="Past due",$F474="Due today",$F474="Spike"),$C474,0))</f>
        <v/>
      </c>
      <c r="H474" s="8" t="str">
        <f aca="false">IF($A474="","",SUBSTITUTE(SUBSTITUTE(SUBSTITUTE($A474&amp;"","~","~~"),"*","~*"),"?","~?"))</f>
        <v/>
      </c>
    </row>
    <row r="475" customFormat="false" ht="15" hidden="false" customHeight="false" outlineLevel="0" collapsed="false">
      <c r="A475" s="11"/>
      <c r="B475" s="6"/>
      <c r="C475" s="11"/>
      <c r="D475" s="11"/>
      <c r="E475" s="8" t="str">
        <f aca="false">IF($A475="","",SUMIFS($C:$C,$A:$A,$H475,$B:$B,"&gt;="&amp;INT($B475),$B:$B,"&lt;"&amp;(INT($B475)+1)))</f>
        <v/>
      </c>
      <c r="F475" s="19" t="str">
        <f aca="false">IF($A475="","",IF(ISNA(MATCH($H475,Buffers!$AE:$AE,0)),"Not on Buffers",IF(NOT(ISNUMBER($B475)),"Needs a date",IF(INT($B475)&lt;PlanDate,"Past due",IF(INT($B475)=PlanDate,"Due today",IF(AND(INDEX(Buffers!$L:$L,MATCH($H475,Buffers!$AE:$AE,0))="Planned",$E475&gt;0,INT($B475)&lt;=PlanDate+ROUNDUP(IF(ISNUMBER(SpikeHorizon),SpikeHorizon,INDEX(Buffers!$D:$D,MATCH($H475,Buffers!$AE:$AE,0))),0),$E475&gt;=SpikePct*INDEX(Buffers!$P:$P,MATCH($H475,Buffers!$AE:$AE,0))),"Spike","Not qualified"))))))</f>
        <v/>
      </c>
      <c r="G475" s="8" t="str">
        <f aca="false">IF($A475="","",IF(OR($F475="Past due",$F475="Due today",$F475="Spike"),$C475,0))</f>
        <v/>
      </c>
      <c r="H475" s="8" t="str">
        <f aca="false">IF($A475="","",SUBSTITUTE(SUBSTITUTE(SUBSTITUTE($A475&amp;"","~","~~"),"*","~*"),"?","~?"))</f>
        <v/>
      </c>
    </row>
    <row r="476" customFormat="false" ht="15" hidden="false" customHeight="false" outlineLevel="0" collapsed="false">
      <c r="A476" s="11"/>
      <c r="B476" s="6"/>
      <c r="C476" s="11"/>
      <c r="D476" s="11"/>
      <c r="E476" s="8" t="str">
        <f aca="false">IF($A476="","",SUMIFS($C:$C,$A:$A,$H476,$B:$B,"&gt;="&amp;INT($B476),$B:$B,"&lt;"&amp;(INT($B476)+1)))</f>
        <v/>
      </c>
      <c r="F476" s="19" t="str">
        <f aca="false">IF($A476="","",IF(ISNA(MATCH($H476,Buffers!$AE:$AE,0)),"Not on Buffers",IF(NOT(ISNUMBER($B476)),"Needs a date",IF(INT($B476)&lt;PlanDate,"Past due",IF(INT($B476)=PlanDate,"Due today",IF(AND(INDEX(Buffers!$L:$L,MATCH($H476,Buffers!$AE:$AE,0))="Planned",$E476&gt;0,INT($B476)&lt;=PlanDate+ROUNDUP(IF(ISNUMBER(SpikeHorizon),SpikeHorizon,INDEX(Buffers!$D:$D,MATCH($H476,Buffers!$AE:$AE,0))),0),$E476&gt;=SpikePct*INDEX(Buffers!$P:$P,MATCH($H476,Buffers!$AE:$AE,0))),"Spike","Not qualified"))))))</f>
        <v/>
      </c>
      <c r="G476" s="8" t="str">
        <f aca="false">IF($A476="","",IF(OR($F476="Past due",$F476="Due today",$F476="Spike"),$C476,0))</f>
        <v/>
      </c>
      <c r="H476" s="8" t="str">
        <f aca="false">IF($A476="","",SUBSTITUTE(SUBSTITUTE(SUBSTITUTE($A476&amp;"","~","~~"),"*","~*"),"?","~?"))</f>
        <v/>
      </c>
    </row>
    <row r="477" customFormat="false" ht="15" hidden="false" customHeight="false" outlineLevel="0" collapsed="false">
      <c r="A477" s="11"/>
      <c r="B477" s="6"/>
      <c r="C477" s="11"/>
      <c r="D477" s="11"/>
      <c r="E477" s="8" t="str">
        <f aca="false">IF($A477="","",SUMIFS($C:$C,$A:$A,$H477,$B:$B,"&gt;="&amp;INT($B477),$B:$B,"&lt;"&amp;(INT($B477)+1)))</f>
        <v/>
      </c>
      <c r="F477" s="19" t="str">
        <f aca="false">IF($A477="","",IF(ISNA(MATCH($H477,Buffers!$AE:$AE,0)),"Not on Buffers",IF(NOT(ISNUMBER($B477)),"Needs a date",IF(INT($B477)&lt;PlanDate,"Past due",IF(INT($B477)=PlanDate,"Due today",IF(AND(INDEX(Buffers!$L:$L,MATCH($H477,Buffers!$AE:$AE,0))="Planned",$E477&gt;0,INT($B477)&lt;=PlanDate+ROUNDUP(IF(ISNUMBER(SpikeHorizon),SpikeHorizon,INDEX(Buffers!$D:$D,MATCH($H477,Buffers!$AE:$AE,0))),0),$E477&gt;=SpikePct*INDEX(Buffers!$P:$P,MATCH($H477,Buffers!$AE:$AE,0))),"Spike","Not qualified"))))))</f>
        <v/>
      </c>
      <c r="G477" s="8" t="str">
        <f aca="false">IF($A477="","",IF(OR($F477="Past due",$F477="Due today",$F477="Spike"),$C477,0))</f>
        <v/>
      </c>
      <c r="H477" s="8" t="str">
        <f aca="false">IF($A477="","",SUBSTITUTE(SUBSTITUTE(SUBSTITUTE($A477&amp;"","~","~~"),"*","~*"),"?","~?"))</f>
        <v/>
      </c>
    </row>
    <row r="478" customFormat="false" ht="15" hidden="false" customHeight="false" outlineLevel="0" collapsed="false">
      <c r="A478" s="11"/>
      <c r="B478" s="6"/>
      <c r="C478" s="11"/>
      <c r="D478" s="11"/>
      <c r="E478" s="8" t="str">
        <f aca="false">IF($A478="","",SUMIFS($C:$C,$A:$A,$H478,$B:$B,"&gt;="&amp;INT($B478),$B:$B,"&lt;"&amp;(INT($B478)+1)))</f>
        <v/>
      </c>
      <c r="F478" s="19" t="str">
        <f aca="false">IF($A478="","",IF(ISNA(MATCH($H478,Buffers!$AE:$AE,0)),"Not on Buffers",IF(NOT(ISNUMBER($B478)),"Needs a date",IF(INT($B478)&lt;PlanDate,"Past due",IF(INT($B478)=PlanDate,"Due today",IF(AND(INDEX(Buffers!$L:$L,MATCH($H478,Buffers!$AE:$AE,0))="Planned",$E478&gt;0,INT($B478)&lt;=PlanDate+ROUNDUP(IF(ISNUMBER(SpikeHorizon),SpikeHorizon,INDEX(Buffers!$D:$D,MATCH($H478,Buffers!$AE:$AE,0))),0),$E478&gt;=SpikePct*INDEX(Buffers!$P:$P,MATCH($H478,Buffers!$AE:$AE,0))),"Spike","Not qualified"))))))</f>
        <v/>
      </c>
      <c r="G478" s="8" t="str">
        <f aca="false">IF($A478="","",IF(OR($F478="Past due",$F478="Due today",$F478="Spike"),$C478,0))</f>
        <v/>
      </c>
      <c r="H478" s="8" t="str">
        <f aca="false">IF($A478="","",SUBSTITUTE(SUBSTITUTE(SUBSTITUTE($A478&amp;"","~","~~"),"*","~*"),"?","~?"))</f>
        <v/>
      </c>
    </row>
    <row r="479" customFormat="false" ht="15" hidden="false" customHeight="false" outlineLevel="0" collapsed="false">
      <c r="A479" s="11"/>
      <c r="B479" s="6"/>
      <c r="C479" s="11"/>
      <c r="D479" s="11"/>
      <c r="E479" s="8" t="str">
        <f aca="false">IF($A479="","",SUMIFS($C:$C,$A:$A,$H479,$B:$B,"&gt;="&amp;INT($B479),$B:$B,"&lt;"&amp;(INT($B479)+1)))</f>
        <v/>
      </c>
      <c r="F479" s="19" t="str">
        <f aca="false">IF($A479="","",IF(ISNA(MATCH($H479,Buffers!$AE:$AE,0)),"Not on Buffers",IF(NOT(ISNUMBER($B479)),"Needs a date",IF(INT($B479)&lt;PlanDate,"Past due",IF(INT($B479)=PlanDate,"Due today",IF(AND(INDEX(Buffers!$L:$L,MATCH($H479,Buffers!$AE:$AE,0))="Planned",$E479&gt;0,INT($B479)&lt;=PlanDate+ROUNDUP(IF(ISNUMBER(SpikeHorizon),SpikeHorizon,INDEX(Buffers!$D:$D,MATCH($H479,Buffers!$AE:$AE,0))),0),$E479&gt;=SpikePct*INDEX(Buffers!$P:$P,MATCH($H479,Buffers!$AE:$AE,0))),"Spike","Not qualified"))))))</f>
        <v/>
      </c>
      <c r="G479" s="8" t="str">
        <f aca="false">IF($A479="","",IF(OR($F479="Past due",$F479="Due today",$F479="Spike"),$C479,0))</f>
        <v/>
      </c>
      <c r="H479" s="8" t="str">
        <f aca="false">IF($A479="","",SUBSTITUTE(SUBSTITUTE(SUBSTITUTE($A479&amp;"","~","~~"),"*","~*"),"?","~?"))</f>
        <v/>
      </c>
    </row>
    <row r="480" customFormat="false" ht="15" hidden="false" customHeight="false" outlineLevel="0" collapsed="false">
      <c r="A480" s="11"/>
      <c r="B480" s="6"/>
      <c r="C480" s="11"/>
      <c r="D480" s="11"/>
      <c r="E480" s="8" t="str">
        <f aca="false">IF($A480="","",SUMIFS($C:$C,$A:$A,$H480,$B:$B,"&gt;="&amp;INT($B480),$B:$B,"&lt;"&amp;(INT($B480)+1)))</f>
        <v/>
      </c>
      <c r="F480" s="19" t="str">
        <f aca="false">IF($A480="","",IF(ISNA(MATCH($H480,Buffers!$AE:$AE,0)),"Not on Buffers",IF(NOT(ISNUMBER($B480)),"Needs a date",IF(INT($B480)&lt;PlanDate,"Past due",IF(INT($B480)=PlanDate,"Due today",IF(AND(INDEX(Buffers!$L:$L,MATCH($H480,Buffers!$AE:$AE,0))="Planned",$E480&gt;0,INT($B480)&lt;=PlanDate+ROUNDUP(IF(ISNUMBER(SpikeHorizon),SpikeHorizon,INDEX(Buffers!$D:$D,MATCH($H480,Buffers!$AE:$AE,0))),0),$E480&gt;=SpikePct*INDEX(Buffers!$P:$P,MATCH($H480,Buffers!$AE:$AE,0))),"Spike","Not qualified"))))))</f>
        <v/>
      </c>
      <c r="G480" s="8" t="str">
        <f aca="false">IF($A480="","",IF(OR($F480="Past due",$F480="Due today",$F480="Spike"),$C480,0))</f>
        <v/>
      </c>
      <c r="H480" s="8" t="str">
        <f aca="false">IF($A480="","",SUBSTITUTE(SUBSTITUTE(SUBSTITUTE($A480&amp;"","~","~~"),"*","~*"),"?","~?"))</f>
        <v/>
      </c>
    </row>
    <row r="481" customFormat="false" ht="15" hidden="false" customHeight="false" outlineLevel="0" collapsed="false">
      <c r="A481" s="11"/>
      <c r="B481" s="6"/>
      <c r="C481" s="11"/>
      <c r="D481" s="11"/>
      <c r="E481" s="8" t="str">
        <f aca="false">IF($A481="","",SUMIFS($C:$C,$A:$A,$H481,$B:$B,"&gt;="&amp;INT($B481),$B:$B,"&lt;"&amp;(INT($B481)+1)))</f>
        <v/>
      </c>
      <c r="F481" s="19" t="str">
        <f aca="false">IF($A481="","",IF(ISNA(MATCH($H481,Buffers!$AE:$AE,0)),"Not on Buffers",IF(NOT(ISNUMBER($B481)),"Needs a date",IF(INT($B481)&lt;PlanDate,"Past due",IF(INT($B481)=PlanDate,"Due today",IF(AND(INDEX(Buffers!$L:$L,MATCH($H481,Buffers!$AE:$AE,0))="Planned",$E481&gt;0,INT($B481)&lt;=PlanDate+ROUNDUP(IF(ISNUMBER(SpikeHorizon),SpikeHorizon,INDEX(Buffers!$D:$D,MATCH($H481,Buffers!$AE:$AE,0))),0),$E481&gt;=SpikePct*INDEX(Buffers!$P:$P,MATCH($H481,Buffers!$AE:$AE,0))),"Spike","Not qualified"))))))</f>
        <v/>
      </c>
      <c r="G481" s="8" t="str">
        <f aca="false">IF($A481="","",IF(OR($F481="Past due",$F481="Due today",$F481="Spike"),$C481,0))</f>
        <v/>
      </c>
      <c r="H481" s="8" t="str">
        <f aca="false">IF($A481="","",SUBSTITUTE(SUBSTITUTE(SUBSTITUTE($A481&amp;"","~","~~"),"*","~*"),"?","~?"))</f>
        <v/>
      </c>
    </row>
    <row r="482" customFormat="false" ht="15" hidden="false" customHeight="false" outlineLevel="0" collapsed="false">
      <c r="A482" s="11"/>
      <c r="B482" s="6"/>
      <c r="C482" s="11"/>
      <c r="D482" s="11"/>
      <c r="E482" s="8" t="str">
        <f aca="false">IF($A482="","",SUMIFS($C:$C,$A:$A,$H482,$B:$B,"&gt;="&amp;INT($B482),$B:$B,"&lt;"&amp;(INT($B482)+1)))</f>
        <v/>
      </c>
      <c r="F482" s="19" t="str">
        <f aca="false">IF($A482="","",IF(ISNA(MATCH($H482,Buffers!$AE:$AE,0)),"Not on Buffers",IF(NOT(ISNUMBER($B482)),"Needs a date",IF(INT($B482)&lt;PlanDate,"Past due",IF(INT($B482)=PlanDate,"Due today",IF(AND(INDEX(Buffers!$L:$L,MATCH($H482,Buffers!$AE:$AE,0))="Planned",$E482&gt;0,INT($B482)&lt;=PlanDate+ROUNDUP(IF(ISNUMBER(SpikeHorizon),SpikeHorizon,INDEX(Buffers!$D:$D,MATCH($H482,Buffers!$AE:$AE,0))),0),$E482&gt;=SpikePct*INDEX(Buffers!$P:$P,MATCH($H482,Buffers!$AE:$AE,0))),"Spike","Not qualified"))))))</f>
        <v/>
      </c>
      <c r="G482" s="8" t="str">
        <f aca="false">IF($A482="","",IF(OR($F482="Past due",$F482="Due today",$F482="Spike"),$C482,0))</f>
        <v/>
      </c>
      <c r="H482" s="8" t="str">
        <f aca="false">IF($A482="","",SUBSTITUTE(SUBSTITUTE(SUBSTITUTE($A482&amp;"","~","~~"),"*","~*"),"?","~?"))</f>
        <v/>
      </c>
    </row>
    <row r="483" customFormat="false" ht="15" hidden="false" customHeight="false" outlineLevel="0" collapsed="false">
      <c r="A483" s="11"/>
      <c r="B483" s="6"/>
      <c r="C483" s="11"/>
      <c r="D483" s="11"/>
      <c r="E483" s="8" t="str">
        <f aca="false">IF($A483="","",SUMIFS($C:$C,$A:$A,$H483,$B:$B,"&gt;="&amp;INT($B483),$B:$B,"&lt;"&amp;(INT($B483)+1)))</f>
        <v/>
      </c>
      <c r="F483" s="19" t="str">
        <f aca="false">IF($A483="","",IF(ISNA(MATCH($H483,Buffers!$AE:$AE,0)),"Not on Buffers",IF(NOT(ISNUMBER($B483)),"Needs a date",IF(INT($B483)&lt;PlanDate,"Past due",IF(INT($B483)=PlanDate,"Due today",IF(AND(INDEX(Buffers!$L:$L,MATCH($H483,Buffers!$AE:$AE,0))="Planned",$E483&gt;0,INT($B483)&lt;=PlanDate+ROUNDUP(IF(ISNUMBER(SpikeHorizon),SpikeHorizon,INDEX(Buffers!$D:$D,MATCH($H483,Buffers!$AE:$AE,0))),0),$E483&gt;=SpikePct*INDEX(Buffers!$P:$P,MATCH($H483,Buffers!$AE:$AE,0))),"Spike","Not qualified"))))))</f>
        <v/>
      </c>
      <c r="G483" s="8" t="str">
        <f aca="false">IF($A483="","",IF(OR($F483="Past due",$F483="Due today",$F483="Spike"),$C483,0))</f>
        <v/>
      </c>
      <c r="H483" s="8" t="str">
        <f aca="false">IF($A483="","",SUBSTITUTE(SUBSTITUTE(SUBSTITUTE($A483&amp;"","~","~~"),"*","~*"),"?","~?"))</f>
        <v/>
      </c>
    </row>
    <row r="484" customFormat="false" ht="15" hidden="false" customHeight="false" outlineLevel="0" collapsed="false">
      <c r="A484" s="11"/>
      <c r="B484" s="6"/>
      <c r="C484" s="11"/>
      <c r="D484" s="11"/>
      <c r="E484" s="8" t="str">
        <f aca="false">IF($A484="","",SUMIFS($C:$C,$A:$A,$H484,$B:$B,"&gt;="&amp;INT($B484),$B:$B,"&lt;"&amp;(INT($B484)+1)))</f>
        <v/>
      </c>
      <c r="F484" s="19" t="str">
        <f aca="false">IF($A484="","",IF(ISNA(MATCH($H484,Buffers!$AE:$AE,0)),"Not on Buffers",IF(NOT(ISNUMBER($B484)),"Needs a date",IF(INT($B484)&lt;PlanDate,"Past due",IF(INT($B484)=PlanDate,"Due today",IF(AND(INDEX(Buffers!$L:$L,MATCH($H484,Buffers!$AE:$AE,0))="Planned",$E484&gt;0,INT($B484)&lt;=PlanDate+ROUNDUP(IF(ISNUMBER(SpikeHorizon),SpikeHorizon,INDEX(Buffers!$D:$D,MATCH($H484,Buffers!$AE:$AE,0))),0),$E484&gt;=SpikePct*INDEX(Buffers!$P:$P,MATCH($H484,Buffers!$AE:$AE,0))),"Spike","Not qualified"))))))</f>
        <v/>
      </c>
      <c r="G484" s="8" t="str">
        <f aca="false">IF($A484="","",IF(OR($F484="Past due",$F484="Due today",$F484="Spike"),$C484,0))</f>
        <v/>
      </c>
      <c r="H484" s="8" t="str">
        <f aca="false">IF($A484="","",SUBSTITUTE(SUBSTITUTE(SUBSTITUTE($A484&amp;"","~","~~"),"*","~*"),"?","~?"))</f>
        <v/>
      </c>
    </row>
    <row r="485" customFormat="false" ht="15" hidden="false" customHeight="false" outlineLevel="0" collapsed="false">
      <c r="A485" s="11"/>
      <c r="B485" s="6"/>
      <c r="C485" s="11"/>
      <c r="D485" s="11"/>
      <c r="E485" s="8" t="str">
        <f aca="false">IF($A485="","",SUMIFS($C:$C,$A:$A,$H485,$B:$B,"&gt;="&amp;INT($B485),$B:$B,"&lt;"&amp;(INT($B485)+1)))</f>
        <v/>
      </c>
      <c r="F485" s="19" t="str">
        <f aca="false">IF($A485="","",IF(ISNA(MATCH($H485,Buffers!$AE:$AE,0)),"Not on Buffers",IF(NOT(ISNUMBER($B485)),"Needs a date",IF(INT($B485)&lt;PlanDate,"Past due",IF(INT($B485)=PlanDate,"Due today",IF(AND(INDEX(Buffers!$L:$L,MATCH($H485,Buffers!$AE:$AE,0))="Planned",$E485&gt;0,INT($B485)&lt;=PlanDate+ROUNDUP(IF(ISNUMBER(SpikeHorizon),SpikeHorizon,INDEX(Buffers!$D:$D,MATCH($H485,Buffers!$AE:$AE,0))),0),$E485&gt;=SpikePct*INDEX(Buffers!$P:$P,MATCH($H485,Buffers!$AE:$AE,0))),"Spike","Not qualified"))))))</f>
        <v/>
      </c>
      <c r="G485" s="8" t="str">
        <f aca="false">IF($A485="","",IF(OR($F485="Past due",$F485="Due today",$F485="Spike"),$C485,0))</f>
        <v/>
      </c>
      <c r="H485" s="8" t="str">
        <f aca="false">IF($A485="","",SUBSTITUTE(SUBSTITUTE(SUBSTITUTE($A485&amp;"","~","~~"),"*","~*"),"?","~?"))</f>
        <v/>
      </c>
    </row>
    <row r="486" customFormat="false" ht="15" hidden="false" customHeight="false" outlineLevel="0" collapsed="false">
      <c r="A486" s="11"/>
      <c r="B486" s="6"/>
      <c r="C486" s="11"/>
      <c r="D486" s="11"/>
      <c r="E486" s="8" t="str">
        <f aca="false">IF($A486="","",SUMIFS($C:$C,$A:$A,$H486,$B:$B,"&gt;="&amp;INT($B486),$B:$B,"&lt;"&amp;(INT($B486)+1)))</f>
        <v/>
      </c>
      <c r="F486" s="19" t="str">
        <f aca="false">IF($A486="","",IF(ISNA(MATCH($H486,Buffers!$AE:$AE,0)),"Not on Buffers",IF(NOT(ISNUMBER($B486)),"Needs a date",IF(INT($B486)&lt;PlanDate,"Past due",IF(INT($B486)=PlanDate,"Due today",IF(AND(INDEX(Buffers!$L:$L,MATCH($H486,Buffers!$AE:$AE,0))="Planned",$E486&gt;0,INT($B486)&lt;=PlanDate+ROUNDUP(IF(ISNUMBER(SpikeHorizon),SpikeHorizon,INDEX(Buffers!$D:$D,MATCH($H486,Buffers!$AE:$AE,0))),0),$E486&gt;=SpikePct*INDEX(Buffers!$P:$P,MATCH($H486,Buffers!$AE:$AE,0))),"Spike","Not qualified"))))))</f>
        <v/>
      </c>
      <c r="G486" s="8" t="str">
        <f aca="false">IF($A486="","",IF(OR($F486="Past due",$F486="Due today",$F486="Spike"),$C486,0))</f>
        <v/>
      </c>
      <c r="H486" s="8" t="str">
        <f aca="false">IF($A486="","",SUBSTITUTE(SUBSTITUTE(SUBSTITUTE($A486&amp;"","~","~~"),"*","~*"),"?","~?"))</f>
        <v/>
      </c>
    </row>
    <row r="487" customFormat="false" ht="15" hidden="false" customHeight="false" outlineLevel="0" collapsed="false">
      <c r="A487" s="11"/>
      <c r="B487" s="6"/>
      <c r="C487" s="11"/>
      <c r="D487" s="11"/>
      <c r="E487" s="8" t="str">
        <f aca="false">IF($A487="","",SUMIFS($C:$C,$A:$A,$H487,$B:$B,"&gt;="&amp;INT($B487),$B:$B,"&lt;"&amp;(INT($B487)+1)))</f>
        <v/>
      </c>
      <c r="F487" s="19" t="str">
        <f aca="false">IF($A487="","",IF(ISNA(MATCH($H487,Buffers!$AE:$AE,0)),"Not on Buffers",IF(NOT(ISNUMBER($B487)),"Needs a date",IF(INT($B487)&lt;PlanDate,"Past due",IF(INT($B487)=PlanDate,"Due today",IF(AND(INDEX(Buffers!$L:$L,MATCH($H487,Buffers!$AE:$AE,0))="Planned",$E487&gt;0,INT($B487)&lt;=PlanDate+ROUNDUP(IF(ISNUMBER(SpikeHorizon),SpikeHorizon,INDEX(Buffers!$D:$D,MATCH($H487,Buffers!$AE:$AE,0))),0),$E487&gt;=SpikePct*INDEX(Buffers!$P:$P,MATCH($H487,Buffers!$AE:$AE,0))),"Spike","Not qualified"))))))</f>
        <v/>
      </c>
      <c r="G487" s="8" t="str">
        <f aca="false">IF($A487="","",IF(OR($F487="Past due",$F487="Due today",$F487="Spike"),$C487,0))</f>
        <v/>
      </c>
      <c r="H487" s="8" t="str">
        <f aca="false">IF($A487="","",SUBSTITUTE(SUBSTITUTE(SUBSTITUTE($A487&amp;"","~","~~"),"*","~*"),"?","~?"))</f>
        <v/>
      </c>
    </row>
    <row r="488" customFormat="false" ht="15" hidden="false" customHeight="false" outlineLevel="0" collapsed="false">
      <c r="A488" s="11"/>
      <c r="B488" s="6"/>
      <c r="C488" s="11"/>
      <c r="D488" s="11"/>
      <c r="E488" s="8" t="str">
        <f aca="false">IF($A488="","",SUMIFS($C:$C,$A:$A,$H488,$B:$B,"&gt;="&amp;INT($B488),$B:$B,"&lt;"&amp;(INT($B488)+1)))</f>
        <v/>
      </c>
      <c r="F488" s="19" t="str">
        <f aca="false">IF($A488="","",IF(ISNA(MATCH($H488,Buffers!$AE:$AE,0)),"Not on Buffers",IF(NOT(ISNUMBER($B488)),"Needs a date",IF(INT($B488)&lt;PlanDate,"Past due",IF(INT($B488)=PlanDate,"Due today",IF(AND(INDEX(Buffers!$L:$L,MATCH($H488,Buffers!$AE:$AE,0))="Planned",$E488&gt;0,INT($B488)&lt;=PlanDate+ROUNDUP(IF(ISNUMBER(SpikeHorizon),SpikeHorizon,INDEX(Buffers!$D:$D,MATCH($H488,Buffers!$AE:$AE,0))),0),$E488&gt;=SpikePct*INDEX(Buffers!$P:$P,MATCH($H488,Buffers!$AE:$AE,0))),"Spike","Not qualified"))))))</f>
        <v/>
      </c>
      <c r="G488" s="8" t="str">
        <f aca="false">IF($A488="","",IF(OR($F488="Past due",$F488="Due today",$F488="Spike"),$C488,0))</f>
        <v/>
      </c>
      <c r="H488" s="8" t="str">
        <f aca="false">IF($A488="","",SUBSTITUTE(SUBSTITUTE(SUBSTITUTE($A488&amp;"","~","~~"),"*","~*"),"?","~?"))</f>
        <v/>
      </c>
    </row>
    <row r="489" customFormat="false" ht="15" hidden="false" customHeight="false" outlineLevel="0" collapsed="false">
      <c r="A489" s="11"/>
      <c r="B489" s="6"/>
      <c r="C489" s="11"/>
      <c r="D489" s="11"/>
      <c r="E489" s="8" t="str">
        <f aca="false">IF($A489="","",SUMIFS($C:$C,$A:$A,$H489,$B:$B,"&gt;="&amp;INT($B489),$B:$B,"&lt;"&amp;(INT($B489)+1)))</f>
        <v/>
      </c>
      <c r="F489" s="19" t="str">
        <f aca="false">IF($A489="","",IF(ISNA(MATCH($H489,Buffers!$AE:$AE,0)),"Not on Buffers",IF(NOT(ISNUMBER($B489)),"Needs a date",IF(INT($B489)&lt;PlanDate,"Past due",IF(INT($B489)=PlanDate,"Due today",IF(AND(INDEX(Buffers!$L:$L,MATCH($H489,Buffers!$AE:$AE,0))="Planned",$E489&gt;0,INT($B489)&lt;=PlanDate+ROUNDUP(IF(ISNUMBER(SpikeHorizon),SpikeHorizon,INDEX(Buffers!$D:$D,MATCH($H489,Buffers!$AE:$AE,0))),0),$E489&gt;=SpikePct*INDEX(Buffers!$P:$P,MATCH($H489,Buffers!$AE:$AE,0))),"Spike","Not qualified"))))))</f>
        <v/>
      </c>
      <c r="G489" s="8" t="str">
        <f aca="false">IF($A489="","",IF(OR($F489="Past due",$F489="Due today",$F489="Spike"),$C489,0))</f>
        <v/>
      </c>
      <c r="H489" s="8" t="str">
        <f aca="false">IF($A489="","",SUBSTITUTE(SUBSTITUTE(SUBSTITUTE($A489&amp;"","~","~~"),"*","~*"),"?","~?"))</f>
        <v/>
      </c>
    </row>
    <row r="490" customFormat="false" ht="15" hidden="false" customHeight="false" outlineLevel="0" collapsed="false">
      <c r="A490" s="11"/>
      <c r="B490" s="6"/>
      <c r="C490" s="11"/>
      <c r="D490" s="11"/>
      <c r="E490" s="8" t="str">
        <f aca="false">IF($A490="","",SUMIFS($C:$C,$A:$A,$H490,$B:$B,"&gt;="&amp;INT($B490),$B:$B,"&lt;"&amp;(INT($B490)+1)))</f>
        <v/>
      </c>
      <c r="F490" s="19" t="str">
        <f aca="false">IF($A490="","",IF(ISNA(MATCH($H490,Buffers!$AE:$AE,0)),"Not on Buffers",IF(NOT(ISNUMBER($B490)),"Needs a date",IF(INT($B490)&lt;PlanDate,"Past due",IF(INT($B490)=PlanDate,"Due today",IF(AND(INDEX(Buffers!$L:$L,MATCH($H490,Buffers!$AE:$AE,0))="Planned",$E490&gt;0,INT($B490)&lt;=PlanDate+ROUNDUP(IF(ISNUMBER(SpikeHorizon),SpikeHorizon,INDEX(Buffers!$D:$D,MATCH($H490,Buffers!$AE:$AE,0))),0),$E490&gt;=SpikePct*INDEX(Buffers!$P:$P,MATCH($H490,Buffers!$AE:$AE,0))),"Spike","Not qualified"))))))</f>
        <v/>
      </c>
      <c r="G490" s="8" t="str">
        <f aca="false">IF($A490="","",IF(OR($F490="Past due",$F490="Due today",$F490="Spike"),$C490,0))</f>
        <v/>
      </c>
      <c r="H490" s="8" t="str">
        <f aca="false">IF($A490="","",SUBSTITUTE(SUBSTITUTE(SUBSTITUTE($A490&amp;"","~","~~"),"*","~*"),"?","~?"))</f>
        <v/>
      </c>
    </row>
    <row r="491" customFormat="false" ht="15" hidden="false" customHeight="false" outlineLevel="0" collapsed="false">
      <c r="A491" s="11"/>
      <c r="B491" s="6"/>
      <c r="C491" s="11"/>
      <c r="D491" s="11"/>
      <c r="E491" s="8" t="str">
        <f aca="false">IF($A491="","",SUMIFS($C:$C,$A:$A,$H491,$B:$B,"&gt;="&amp;INT($B491),$B:$B,"&lt;"&amp;(INT($B491)+1)))</f>
        <v/>
      </c>
      <c r="F491" s="19" t="str">
        <f aca="false">IF($A491="","",IF(ISNA(MATCH($H491,Buffers!$AE:$AE,0)),"Not on Buffers",IF(NOT(ISNUMBER($B491)),"Needs a date",IF(INT($B491)&lt;PlanDate,"Past due",IF(INT($B491)=PlanDate,"Due today",IF(AND(INDEX(Buffers!$L:$L,MATCH($H491,Buffers!$AE:$AE,0))="Planned",$E491&gt;0,INT($B491)&lt;=PlanDate+ROUNDUP(IF(ISNUMBER(SpikeHorizon),SpikeHorizon,INDEX(Buffers!$D:$D,MATCH($H491,Buffers!$AE:$AE,0))),0),$E491&gt;=SpikePct*INDEX(Buffers!$P:$P,MATCH($H491,Buffers!$AE:$AE,0))),"Spike","Not qualified"))))))</f>
        <v/>
      </c>
      <c r="G491" s="8" t="str">
        <f aca="false">IF($A491="","",IF(OR($F491="Past due",$F491="Due today",$F491="Spike"),$C491,0))</f>
        <v/>
      </c>
      <c r="H491" s="8" t="str">
        <f aca="false">IF($A491="","",SUBSTITUTE(SUBSTITUTE(SUBSTITUTE($A491&amp;"","~","~~"),"*","~*"),"?","~?"))</f>
        <v/>
      </c>
    </row>
    <row r="492" customFormat="false" ht="15" hidden="false" customHeight="false" outlineLevel="0" collapsed="false">
      <c r="A492" s="11"/>
      <c r="B492" s="6"/>
      <c r="C492" s="11"/>
      <c r="D492" s="11"/>
      <c r="E492" s="8" t="str">
        <f aca="false">IF($A492="","",SUMIFS($C:$C,$A:$A,$H492,$B:$B,"&gt;="&amp;INT($B492),$B:$B,"&lt;"&amp;(INT($B492)+1)))</f>
        <v/>
      </c>
      <c r="F492" s="19" t="str">
        <f aca="false">IF($A492="","",IF(ISNA(MATCH($H492,Buffers!$AE:$AE,0)),"Not on Buffers",IF(NOT(ISNUMBER($B492)),"Needs a date",IF(INT($B492)&lt;PlanDate,"Past due",IF(INT($B492)=PlanDate,"Due today",IF(AND(INDEX(Buffers!$L:$L,MATCH($H492,Buffers!$AE:$AE,0))="Planned",$E492&gt;0,INT($B492)&lt;=PlanDate+ROUNDUP(IF(ISNUMBER(SpikeHorizon),SpikeHorizon,INDEX(Buffers!$D:$D,MATCH($H492,Buffers!$AE:$AE,0))),0),$E492&gt;=SpikePct*INDEX(Buffers!$P:$P,MATCH($H492,Buffers!$AE:$AE,0))),"Spike","Not qualified"))))))</f>
        <v/>
      </c>
      <c r="G492" s="8" t="str">
        <f aca="false">IF($A492="","",IF(OR($F492="Past due",$F492="Due today",$F492="Spike"),$C492,0))</f>
        <v/>
      </c>
      <c r="H492" s="8" t="str">
        <f aca="false">IF($A492="","",SUBSTITUTE(SUBSTITUTE(SUBSTITUTE($A492&amp;"","~","~~"),"*","~*"),"?","~?"))</f>
        <v/>
      </c>
    </row>
    <row r="493" customFormat="false" ht="15" hidden="false" customHeight="false" outlineLevel="0" collapsed="false">
      <c r="A493" s="11"/>
      <c r="B493" s="6"/>
      <c r="C493" s="11"/>
      <c r="D493" s="11"/>
      <c r="E493" s="8" t="str">
        <f aca="false">IF($A493="","",SUMIFS($C:$C,$A:$A,$H493,$B:$B,"&gt;="&amp;INT($B493),$B:$B,"&lt;"&amp;(INT($B493)+1)))</f>
        <v/>
      </c>
      <c r="F493" s="19" t="str">
        <f aca="false">IF($A493="","",IF(ISNA(MATCH($H493,Buffers!$AE:$AE,0)),"Not on Buffers",IF(NOT(ISNUMBER($B493)),"Needs a date",IF(INT($B493)&lt;PlanDate,"Past due",IF(INT($B493)=PlanDate,"Due today",IF(AND(INDEX(Buffers!$L:$L,MATCH($H493,Buffers!$AE:$AE,0))="Planned",$E493&gt;0,INT($B493)&lt;=PlanDate+ROUNDUP(IF(ISNUMBER(SpikeHorizon),SpikeHorizon,INDEX(Buffers!$D:$D,MATCH($H493,Buffers!$AE:$AE,0))),0),$E493&gt;=SpikePct*INDEX(Buffers!$P:$P,MATCH($H493,Buffers!$AE:$AE,0))),"Spike","Not qualified"))))))</f>
        <v/>
      </c>
      <c r="G493" s="8" t="str">
        <f aca="false">IF($A493="","",IF(OR($F493="Past due",$F493="Due today",$F493="Spike"),$C493,0))</f>
        <v/>
      </c>
      <c r="H493" s="8" t="str">
        <f aca="false">IF($A493="","",SUBSTITUTE(SUBSTITUTE(SUBSTITUTE($A493&amp;"","~","~~"),"*","~*"),"?","~?"))</f>
        <v/>
      </c>
    </row>
    <row r="494" customFormat="false" ht="15" hidden="false" customHeight="false" outlineLevel="0" collapsed="false">
      <c r="A494" s="11"/>
      <c r="B494" s="6"/>
      <c r="C494" s="11"/>
      <c r="D494" s="11"/>
      <c r="E494" s="8" t="str">
        <f aca="false">IF($A494="","",SUMIFS($C:$C,$A:$A,$H494,$B:$B,"&gt;="&amp;INT($B494),$B:$B,"&lt;"&amp;(INT($B494)+1)))</f>
        <v/>
      </c>
      <c r="F494" s="19" t="str">
        <f aca="false">IF($A494="","",IF(ISNA(MATCH($H494,Buffers!$AE:$AE,0)),"Not on Buffers",IF(NOT(ISNUMBER($B494)),"Needs a date",IF(INT($B494)&lt;PlanDate,"Past due",IF(INT($B494)=PlanDate,"Due today",IF(AND(INDEX(Buffers!$L:$L,MATCH($H494,Buffers!$AE:$AE,0))="Planned",$E494&gt;0,INT($B494)&lt;=PlanDate+ROUNDUP(IF(ISNUMBER(SpikeHorizon),SpikeHorizon,INDEX(Buffers!$D:$D,MATCH($H494,Buffers!$AE:$AE,0))),0),$E494&gt;=SpikePct*INDEX(Buffers!$P:$P,MATCH($H494,Buffers!$AE:$AE,0))),"Spike","Not qualified"))))))</f>
        <v/>
      </c>
      <c r="G494" s="8" t="str">
        <f aca="false">IF($A494="","",IF(OR($F494="Past due",$F494="Due today",$F494="Spike"),$C494,0))</f>
        <v/>
      </c>
      <c r="H494" s="8" t="str">
        <f aca="false">IF($A494="","",SUBSTITUTE(SUBSTITUTE(SUBSTITUTE($A494&amp;"","~","~~"),"*","~*"),"?","~?"))</f>
        <v/>
      </c>
    </row>
    <row r="495" customFormat="false" ht="15" hidden="false" customHeight="false" outlineLevel="0" collapsed="false">
      <c r="A495" s="11"/>
      <c r="B495" s="6"/>
      <c r="C495" s="11"/>
      <c r="D495" s="11"/>
      <c r="E495" s="8" t="str">
        <f aca="false">IF($A495="","",SUMIFS($C:$C,$A:$A,$H495,$B:$B,"&gt;="&amp;INT($B495),$B:$B,"&lt;"&amp;(INT($B495)+1)))</f>
        <v/>
      </c>
      <c r="F495" s="19" t="str">
        <f aca="false">IF($A495="","",IF(ISNA(MATCH($H495,Buffers!$AE:$AE,0)),"Not on Buffers",IF(NOT(ISNUMBER($B495)),"Needs a date",IF(INT($B495)&lt;PlanDate,"Past due",IF(INT($B495)=PlanDate,"Due today",IF(AND(INDEX(Buffers!$L:$L,MATCH($H495,Buffers!$AE:$AE,0))="Planned",$E495&gt;0,INT($B495)&lt;=PlanDate+ROUNDUP(IF(ISNUMBER(SpikeHorizon),SpikeHorizon,INDEX(Buffers!$D:$D,MATCH($H495,Buffers!$AE:$AE,0))),0),$E495&gt;=SpikePct*INDEX(Buffers!$P:$P,MATCH($H495,Buffers!$AE:$AE,0))),"Spike","Not qualified"))))))</f>
        <v/>
      </c>
      <c r="G495" s="8" t="str">
        <f aca="false">IF($A495="","",IF(OR($F495="Past due",$F495="Due today",$F495="Spike"),$C495,0))</f>
        <v/>
      </c>
      <c r="H495" s="8" t="str">
        <f aca="false">IF($A495="","",SUBSTITUTE(SUBSTITUTE(SUBSTITUTE($A495&amp;"","~","~~"),"*","~*"),"?","~?"))</f>
        <v/>
      </c>
    </row>
    <row r="496" customFormat="false" ht="15" hidden="false" customHeight="false" outlineLevel="0" collapsed="false">
      <c r="A496" s="11"/>
      <c r="B496" s="6"/>
      <c r="C496" s="11"/>
      <c r="D496" s="11"/>
      <c r="E496" s="8" t="str">
        <f aca="false">IF($A496="","",SUMIFS($C:$C,$A:$A,$H496,$B:$B,"&gt;="&amp;INT($B496),$B:$B,"&lt;"&amp;(INT($B496)+1)))</f>
        <v/>
      </c>
      <c r="F496" s="19" t="str">
        <f aca="false">IF($A496="","",IF(ISNA(MATCH($H496,Buffers!$AE:$AE,0)),"Not on Buffers",IF(NOT(ISNUMBER($B496)),"Needs a date",IF(INT($B496)&lt;PlanDate,"Past due",IF(INT($B496)=PlanDate,"Due today",IF(AND(INDEX(Buffers!$L:$L,MATCH($H496,Buffers!$AE:$AE,0))="Planned",$E496&gt;0,INT($B496)&lt;=PlanDate+ROUNDUP(IF(ISNUMBER(SpikeHorizon),SpikeHorizon,INDEX(Buffers!$D:$D,MATCH($H496,Buffers!$AE:$AE,0))),0),$E496&gt;=SpikePct*INDEX(Buffers!$P:$P,MATCH($H496,Buffers!$AE:$AE,0))),"Spike","Not qualified"))))))</f>
        <v/>
      </c>
      <c r="G496" s="8" t="str">
        <f aca="false">IF($A496="","",IF(OR($F496="Past due",$F496="Due today",$F496="Spike"),$C496,0))</f>
        <v/>
      </c>
      <c r="H496" s="8" t="str">
        <f aca="false">IF($A496="","",SUBSTITUTE(SUBSTITUTE(SUBSTITUTE($A496&amp;"","~","~~"),"*","~*"),"?","~?"))</f>
        <v/>
      </c>
    </row>
    <row r="497" customFormat="false" ht="15" hidden="false" customHeight="false" outlineLevel="0" collapsed="false">
      <c r="A497" s="11"/>
      <c r="B497" s="6"/>
      <c r="C497" s="11"/>
      <c r="D497" s="11"/>
      <c r="E497" s="8" t="str">
        <f aca="false">IF($A497="","",SUMIFS($C:$C,$A:$A,$H497,$B:$B,"&gt;="&amp;INT($B497),$B:$B,"&lt;"&amp;(INT($B497)+1)))</f>
        <v/>
      </c>
      <c r="F497" s="19" t="str">
        <f aca="false">IF($A497="","",IF(ISNA(MATCH($H497,Buffers!$AE:$AE,0)),"Not on Buffers",IF(NOT(ISNUMBER($B497)),"Needs a date",IF(INT($B497)&lt;PlanDate,"Past due",IF(INT($B497)=PlanDate,"Due today",IF(AND(INDEX(Buffers!$L:$L,MATCH($H497,Buffers!$AE:$AE,0))="Planned",$E497&gt;0,INT($B497)&lt;=PlanDate+ROUNDUP(IF(ISNUMBER(SpikeHorizon),SpikeHorizon,INDEX(Buffers!$D:$D,MATCH($H497,Buffers!$AE:$AE,0))),0),$E497&gt;=SpikePct*INDEX(Buffers!$P:$P,MATCH($H497,Buffers!$AE:$AE,0))),"Spike","Not qualified"))))))</f>
        <v/>
      </c>
      <c r="G497" s="8" t="str">
        <f aca="false">IF($A497="","",IF(OR($F497="Past due",$F497="Due today",$F497="Spike"),$C497,0))</f>
        <v/>
      </c>
      <c r="H497" s="8" t="str">
        <f aca="false">IF($A497="","",SUBSTITUTE(SUBSTITUTE(SUBSTITUTE($A497&amp;"","~","~~"),"*","~*"),"?","~?"))</f>
        <v/>
      </c>
    </row>
    <row r="498" customFormat="false" ht="15" hidden="false" customHeight="false" outlineLevel="0" collapsed="false">
      <c r="A498" s="11"/>
      <c r="B498" s="6"/>
      <c r="C498" s="11"/>
      <c r="D498" s="11"/>
      <c r="E498" s="8" t="str">
        <f aca="false">IF($A498="","",SUMIFS($C:$C,$A:$A,$H498,$B:$B,"&gt;="&amp;INT($B498),$B:$B,"&lt;"&amp;(INT($B498)+1)))</f>
        <v/>
      </c>
      <c r="F498" s="19" t="str">
        <f aca="false">IF($A498="","",IF(ISNA(MATCH($H498,Buffers!$AE:$AE,0)),"Not on Buffers",IF(NOT(ISNUMBER($B498)),"Needs a date",IF(INT($B498)&lt;PlanDate,"Past due",IF(INT($B498)=PlanDate,"Due today",IF(AND(INDEX(Buffers!$L:$L,MATCH($H498,Buffers!$AE:$AE,0))="Planned",$E498&gt;0,INT($B498)&lt;=PlanDate+ROUNDUP(IF(ISNUMBER(SpikeHorizon),SpikeHorizon,INDEX(Buffers!$D:$D,MATCH($H498,Buffers!$AE:$AE,0))),0),$E498&gt;=SpikePct*INDEX(Buffers!$P:$P,MATCH($H498,Buffers!$AE:$AE,0))),"Spike","Not qualified"))))))</f>
        <v/>
      </c>
      <c r="G498" s="8" t="str">
        <f aca="false">IF($A498="","",IF(OR($F498="Past due",$F498="Due today",$F498="Spike"),$C498,0))</f>
        <v/>
      </c>
      <c r="H498" s="8" t="str">
        <f aca="false">IF($A498="","",SUBSTITUTE(SUBSTITUTE(SUBSTITUTE($A498&amp;"","~","~~"),"*","~*"),"?","~?"))</f>
        <v/>
      </c>
    </row>
    <row r="499" customFormat="false" ht="15" hidden="false" customHeight="false" outlineLevel="0" collapsed="false">
      <c r="A499" s="11"/>
      <c r="B499" s="6"/>
      <c r="C499" s="11"/>
      <c r="D499" s="11"/>
      <c r="E499" s="8" t="str">
        <f aca="false">IF($A499="","",SUMIFS($C:$C,$A:$A,$H499,$B:$B,"&gt;="&amp;INT($B499),$B:$B,"&lt;"&amp;(INT($B499)+1)))</f>
        <v/>
      </c>
      <c r="F499" s="19" t="str">
        <f aca="false">IF($A499="","",IF(ISNA(MATCH($H499,Buffers!$AE:$AE,0)),"Not on Buffers",IF(NOT(ISNUMBER($B499)),"Needs a date",IF(INT($B499)&lt;PlanDate,"Past due",IF(INT($B499)=PlanDate,"Due today",IF(AND(INDEX(Buffers!$L:$L,MATCH($H499,Buffers!$AE:$AE,0))="Planned",$E499&gt;0,INT($B499)&lt;=PlanDate+ROUNDUP(IF(ISNUMBER(SpikeHorizon),SpikeHorizon,INDEX(Buffers!$D:$D,MATCH($H499,Buffers!$AE:$AE,0))),0),$E499&gt;=SpikePct*INDEX(Buffers!$P:$P,MATCH($H499,Buffers!$AE:$AE,0))),"Spike","Not qualified"))))))</f>
        <v/>
      </c>
      <c r="G499" s="8" t="str">
        <f aca="false">IF($A499="","",IF(OR($F499="Past due",$F499="Due today",$F499="Spike"),$C499,0))</f>
        <v/>
      </c>
      <c r="H499" s="8" t="str">
        <f aca="false">IF($A499="","",SUBSTITUTE(SUBSTITUTE(SUBSTITUTE($A499&amp;"","~","~~"),"*","~*"),"?","~?"))</f>
        <v/>
      </c>
    </row>
    <row r="500" customFormat="false" ht="15" hidden="false" customHeight="false" outlineLevel="0" collapsed="false">
      <c r="A500" s="11"/>
      <c r="B500" s="6"/>
      <c r="C500" s="11"/>
      <c r="D500" s="11"/>
      <c r="E500" s="8" t="str">
        <f aca="false">IF($A500="","",SUMIFS($C:$C,$A:$A,$H500,$B:$B,"&gt;="&amp;INT($B500),$B:$B,"&lt;"&amp;(INT($B500)+1)))</f>
        <v/>
      </c>
      <c r="F500" s="19" t="str">
        <f aca="false">IF($A500="","",IF(ISNA(MATCH($H500,Buffers!$AE:$AE,0)),"Not on Buffers",IF(NOT(ISNUMBER($B500)),"Needs a date",IF(INT($B500)&lt;PlanDate,"Past due",IF(INT($B500)=PlanDate,"Due today",IF(AND(INDEX(Buffers!$L:$L,MATCH($H500,Buffers!$AE:$AE,0))="Planned",$E500&gt;0,INT($B500)&lt;=PlanDate+ROUNDUP(IF(ISNUMBER(SpikeHorizon),SpikeHorizon,INDEX(Buffers!$D:$D,MATCH($H500,Buffers!$AE:$AE,0))),0),$E500&gt;=SpikePct*INDEX(Buffers!$P:$P,MATCH($H500,Buffers!$AE:$AE,0))),"Spike","Not qualified"))))))</f>
        <v/>
      </c>
      <c r="G500" s="8" t="str">
        <f aca="false">IF($A500="","",IF(OR($F500="Past due",$F500="Due today",$F500="Spike"),$C500,0))</f>
        <v/>
      </c>
      <c r="H500" s="8" t="str">
        <f aca="false">IF($A500="","",SUBSTITUTE(SUBSTITUTE(SUBSTITUTE($A500&amp;"","~","~~"),"*","~*"),"?","~?"))</f>
        <v/>
      </c>
    </row>
    <row r="501" customFormat="false" ht="15" hidden="false" customHeight="false" outlineLevel="0" collapsed="false">
      <c r="A501" s="11"/>
      <c r="B501" s="6"/>
      <c r="C501" s="11"/>
      <c r="D501" s="11"/>
      <c r="E501" s="8" t="str">
        <f aca="false">IF($A501="","",SUMIFS($C:$C,$A:$A,$H501,$B:$B,"&gt;="&amp;INT($B501),$B:$B,"&lt;"&amp;(INT($B501)+1)))</f>
        <v/>
      </c>
      <c r="F501" s="19" t="str">
        <f aca="false">IF($A501="","",IF(ISNA(MATCH($H501,Buffers!$AE:$AE,0)),"Not on Buffers",IF(NOT(ISNUMBER($B501)),"Needs a date",IF(INT($B501)&lt;PlanDate,"Past due",IF(INT($B501)=PlanDate,"Due today",IF(AND(INDEX(Buffers!$L:$L,MATCH($H501,Buffers!$AE:$AE,0))="Planned",$E501&gt;0,INT($B501)&lt;=PlanDate+ROUNDUP(IF(ISNUMBER(SpikeHorizon),SpikeHorizon,INDEX(Buffers!$D:$D,MATCH($H501,Buffers!$AE:$AE,0))),0),$E501&gt;=SpikePct*INDEX(Buffers!$P:$P,MATCH($H501,Buffers!$AE:$AE,0))),"Spike","Not qualified"))))))</f>
        <v/>
      </c>
      <c r="G501" s="8" t="str">
        <f aca="false">IF($A501="","",IF(OR($F501="Past due",$F501="Due today",$F501="Spike"),$C501,0))</f>
        <v/>
      </c>
      <c r="H501" s="8" t="str">
        <f aca="false">IF($A501="","",SUBSTITUTE(SUBSTITUTE(SUBSTITUTE($A501&amp;"","~","~~"),"*","~*"),"?","~?"))</f>
        <v/>
      </c>
    </row>
    <row r="502" customFormat="false" ht="15" hidden="false" customHeight="false" outlineLevel="0" collapsed="false">
      <c r="A502" s="11"/>
      <c r="B502" s="6"/>
      <c r="C502" s="11"/>
      <c r="D502" s="11"/>
      <c r="E502" s="8" t="str">
        <f aca="false">IF($A502="","",SUMIFS($C:$C,$A:$A,$H502,$B:$B,"&gt;="&amp;INT($B502),$B:$B,"&lt;"&amp;(INT($B502)+1)))</f>
        <v/>
      </c>
      <c r="F502" s="19" t="str">
        <f aca="false">IF($A502="","",IF(ISNA(MATCH($H502,Buffers!$AE:$AE,0)),"Not on Buffers",IF(NOT(ISNUMBER($B502)),"Needs a date",IF(INT($B502)&lt;PlanDate,"Past due",IF(INT($B502)=PlanDate,"Due today",IF(AND(INDEX(Buffers!$L:$L,MATCH($H502,Buffers!$AE:$AE,0))="Planned",$E502&gt;0,INT($B502)&lt;=PlanDate+ROUNDUP(IF(ISNUMBER(SpikeHorizon),SpikeHorizon,INDEX(Buffers!$D:$D,MATCH($H502,Buffers!$AE:$AE,0))),0),$E502&gt;=SpikePct*INDEX(Buffers!$P:$P,MATCH($H502,Buffers!$AE:$AE,0))),"Spike","Not qualified"))))))</f>
        <v/>
      </c>
      <c r="G502" s="8" t="str">
        <f aca="false">IF($A502="","",IF(OR($F502="Past due",$F502="Due today",$F502="Spike"),$C502,0))</f>
        <v/>
      </c>
      <c r="H502" s="8" t="str">
        <f aca="false">IF($A502="","",SUBSTITUTE(SUBSTITUTE(SUBSTITUTE($A502&amp;"","~","~~"),"*","~*"),"?","~?"))</f>
        <v/>
      </c>
    </row>
    <row r="503" customFormat="false" ht="15" hidden="false" customHeight="false" outlineLevel="0" collapsed="false">
      <c r="A503" s="11"/>
      <c r="B503" s="6"/>
      <c r="C503" s="11"/>
      <c r="D503" s="11"/>
      <c r="E503" s="8" t="str">
        <f aca="false">IF($A503="","",SUMIFS($C:$C,$A:$A,$H503,$B:$B,"&gt;="&amp;INT($B503),$B:$B,"&lt;"&amp;(INT($B503)+1)))</f>
        <v/>
      </c>
      <c r="F503" s="19" t="str">
        <f aca="false">IF($A503="","",IF(ISNA(MATCH($H503,Buffers!$AE:$AE,0)),"Not on Buffers",IF(NOT(ISNUMBER($B503)),"Needs a date",IF(INT($B503)&lt;PlanDate,"Past due",IF(INT($B503)=PlanDate,"Due today",IF(AND(INDEX(Buffers!$L:$L,MATCH($H503,Buffers!$AE:$AE,0))="Planned",$E503&gt;0,INT($B503)&lt;=PlanDate+ROUNDUP(IF(ISNUMBER(SpikeHorizon),SpikeHorizon,INDEX(Buffers!$D:$D,MATCH($H503,Buffers!$AE:$AE,0))),0),$E503&gt;=SpikePct*INDEX(Buffers!$P:$P,MATCH($H503,Buffers!$AE:$AE,0))),"Spike","Not qualified"))))))</f>
        <v/>
      </c>
      <c r="G503" s="8" t="str">
        <f aca="false">IF($A503="","",IF(OR($F503="Past due",$F503="Due today",$F503="Spike"),$C503,0))</f>
        <v/>
      </c>
      <c r="H503" s="8" t="str">
        <f aca="false">IF($A503="","",SUBSTITUTE(SUBSTITUTE(SUBSTITUTE($A503&amp;"","~","~~"),"*","~*"),"?","~?"))</f>
        <v/>
      </c>
    </row>
    <row r="504" customFormat="false" ht="15" hidden="false" customHeight="false" outlineLevel="0" collapsed="false">
      <c r="A504" s="11"/>
      <c r="B504" s="6"/>
      <c r="C504" s="11"/>
      <c r="D504" s="11"/>
      <c r="E504" s="8" t="str">
        <f aca="false">IF($A504="","",SUMIFS($C:$C,$A:$A,$H504,$B:$B,"&gt;="&amp;INT($B504),$B:$B,"&lt;"&amp;(INT($B504)+1)))</f>
        <v/>
      </c>
      <c r="F504" s="19" t="str">
        <f aca="false">IF($A504="","",IF(ISNA(MATCH($H504,Buffers!$AE:$AE,0)),"Not on Buffers",IF(NOT(ISNUMBER($B504)),"Needs a date",IF(INT($B504)&lt;PlanDate,"Past due",IF(INT($B504)=PlanDate,"Due today",IF(AND(INDEX(Buffers!$L:$L,MATCH($H504,Buffers!$AE:$AE,0))="Planned",$E504&gt;0,INT($B504)&lt;=PlanDate+ROUNDUP(IF(ISNUMBER(SpikeHorizon),SpikeHorizon,INDEX(Buffers!$D:$D,MATCH($H504,Buffers!$AE:$AE,0))),0),$E504&gt;=SpikePct*INDEX(Buffers!$P:$P,MATCH($H504,Buffers!$AE:$AE,0))),"Spike","Not qualified"))))))</f>
        <v/>
      </c>
      <c r="G504" s="8" t="str">
        <f aca="false">IF($A504="","",IF(OR($F504="Past due",$F504="Due today",$F504="Spike"),$C504,0))</f>
        <v/>
      </c>
      <c r="H504" s="8" t="str">
        <f aca="false">IF($A504="","",SUBSTITUTE(SUBSTITUTE(SUBSTITUTE($A504&amp;"","~","~~"),"*","~*"),"?","~?"))</f>
        <v/>
      </c>
    </row>
    <row r="505" customFormat="false" ht="15" hidden="false" customHeight="false" outlineLevel="0" collapsed="false">
      <c r="A505" s="11"/>
      <c r="B505" s="6"/>
      <c r="C505" s="11"/>
      <c r="D505" s="11"/>
      <c r="E505" s="8" t="str">
        <f aca="false">IF($A505="","",SUMIFS($C:$C,$A:$A,$H505,$B:$B,"&gt;="&amp;INT($B505),$B:$B,"&lt;"&amp;(INT($B505)+1)))</f>
        <v/>
      </c>
      <c r="F505" s="19" t="str">
        <f aca="false">IF($A505="","",IF(ISNA(MATCH($H505,Buffers!$AE:$AE,0)),"Not on Buffers",IF(NOT(ISNUMBER($B505)),"Needs a date",IF(INT($B505)&lt;PlanDate,"Past due",IF(INT($B505)=PlanDate,"Due today",IF(AND(INDEX(Buffers!$L:$L,MATCH($H505,Buffers!$AE:$AE,0))="Planned",$E505&gt;0,INT($B505)&lt;=PlanDate+ROUNDUP(IF(ISNUMBER(SpikeHorizon),SpikeHorizon,INDEX(Buffers!$D:$D,MATCH($H505,Buffers!$AE:$AE,0))),0),$E505&gt;=SpikePct*INDEX(Buffers!$P:$P,MATCH($H505,Buffers!$AE:$AE,0))),"Spike","Not qualified"))))))</f>
        <v/>
      </c>
      <c r="G505" s="8" t="str">
        <f aca="false">IF($A505="","",IF(OR($F505="Past due",$F505="Due today",$F505="Spike"),$C505,0))</f>
        <v/>
      </c>
      <c r="H505" s="8" t="str">
        <f aca="false">IF($A505="","",SUBSTITUTE(SUBSTITUTE(SUBSTITUTE($A505&amp;"","~","~~"),"*","~*"),"?","~?"))</f>
        <v/>
      </c>
    </row>
    <row r="506" customFormat="false" ht="15" hidden="false" customHeight="false" outlineLevel="0" collapsed="false">
      <c r="A506" s="11"/>
      <c r="B506" s="6"/>
      <c r="C506" s="11"/>
      <c r="D506" s="11"/>
      <c r="E506" s="8" t="str">
        <f aca="false">IF($A506="","",SUMIFS($C:$C,$A:$A,$H506,$B:$B,"&gt;="&amp;INT($B506),$B:$B,"&lt;"&amp;(INT($B506)+1)))</f>
        <v/>
      </c>
      <c r="F506" s="19" t="str">
        <f aca="false">IF($A506="","",IF(ISNA(MATCH($H506,Buffers!$AE:$AE,0)),"Not on Buffers",IF(NOT(ISNUMBER($B506)),"Needs a date",IF(INT($B506)&lt;PlanDate,"Past due",IF(INT($B506)=PlanDate,"Due today",IF(AND(INDEX(Buffers!$L:$L,MATCH($H506,Buffers!$AE:$AE,0))="Planned",$E506&gt;0,INT($B506)&lt;=PlanDate+ROUNDUP(IF(ISNUMBER(SpikeHorizon),SpikeHorizon,INDEX(Buffers!$D:$D,MATCH($H506,Buffers!$AE:$AE,0))),0),$E506&gt;=SpikePct*INDEX(Buffers!$P:$P,MATCH($H506,Buffers!$AE:$AE,0))),"Spike","Not qualified"))))))</f>
        <v/>
      </c>
      <c r="G506" s="8" t="str">
        <f aca="false">IF($A506="","",IF(OR($F506="Past due",$F506="Due today",$F506="Spike"),$C506,0))</f>
        <v/>
      </c>
      <c r="H506" s="8" t="str">
        <f aca="false">IF($A506="","",SUBSTITUTE(SUBSTITUTE(SUBSTITUTE($A506&amp;"","~","~~"),"*","~*"),"?","~?"))</f>
        <v/>
      </c>
    </row>
    <row r="507" customFormat="false" ht="15" hidden="false" customHeight="false" outlineLevel="0" collapsed="false">
      <c r="A507" s="11"/>
      <c r="B507" s="6"/>
      <c r="C507" s="11"/>
      <c r="D507" s="11"/>
      <c r="E507" s="8" t="str">
        <f aca="false">IF($A507="","",SUMIFS($C:$C,$A:$A,$H507,$B:$B,"&gt;="&amp;INT($B507),$B:$B,"&lt;"&amp;(INT($B507)+1)))</f>
        <v/>
      </c>
      <c r="F507" s="19" t="str">
        <f aca="false">IF($A507="","",IF(ISNA(MATCH($H507,Buffers!$AE:$AE,0)),"Not on Buffers",IF(NOT(ISNUMBER($B507)),"Needs a date",IF(INT($B507)&lt;PlanDate,"Past due",IF(INT($B507)=PlanDate,"Due today",IF(AND(INDEX(Buffers!$L:$L,MATCH($H507,Buffers!$AE:$AE,0))="Planned",$E507&gt;0,INT($B507)&lt;=PlanDate+ROUNDUP(IF(ISNUMBER(SpikeHorizon),SpikeHorizon,INDEX(Buffers!$D:$D,MATCH($H507,Buffers!$AE:$AE,0))),0),$E507&gt;=SpikePct*INDEX(Buffers!$P:$P,MATCH($H507,Buffers!$AE:$AE,0))),"Spike","Not qualified"))))))</f>
        <v/>
      </c>
      <c r="G507" s="8" t="str">
        <f aca="false">IF($A507="","",IF(OR($F507="Past due",$F507="Due today",$F507="Spike"),$C507,0))</f>
        <v/>
      </c>
      <c r="H507" s="8" t="str">
        <f aca="false">IF($A507="","",SUBSTITUTE(SUBSTITUTE(SUBSTITUTE($A507&amp;"","~","~~"),"*","~*"),"?","~?"))</f>
        <v/>
      </c>
    </row>
    <row r="508" customFormat="false" ht="15" hidden="false" customHeight="false" outlineLevel="0" collapsed="false">
      <c r="A508" s="11"/>
      <c r="B508" s="6"/>
      <c r="C508" s="11"/>
      <c r="D508" s="11"/>
      <c r="E508" s="8" t="str">
        <f aca="false">IF($A508="","",SUMIFS($C:$C,$A:$A,$H508,$B:$B,"&gt;="&amp;INT($B508),$B:$B,"&lt;"&amp;(INT($B508)+1)))</f>
        <v/>
      </c>
      <c r="F508" s="19" t="str">
        <f aca="false">IF($A508="","",IF(ISNA(MATCH($H508,Buffers!$AE:$AE,0)),"Not on Buffers",IF(NOT(ISNUMBER($B508)),"Needs a date",IF(INT($B508)&lt;PlanDate,"Past due",IF(INT($B508)=PlanDate,"Due today",IF(AND(INDEX(Buffers!$L:$L,MATCH($H508,Buffers!$AE:$AE,0))="Planned",$E508&gt;0,INT($B508)&lt;=PlanDate+ROUNDUP(IF(ISNUMBER(SpikeHorizon),SpikeHorizon,INDEX(Buffers!$D:$D,MATCH($H508,Buffers!$AE:$AE,0))),0),$E508&gt;=SpikePct*INDEX(Buffers!$P:$P,MATCH($H508,Buffers!$AE:$AE,0))),"Spike","Not qualified"))))))</f>
        <v/>
      </c>
      <c r="G508" s="8" t="str">
        <f aca="false">IF($A508="","",IF(OR($F508="Past due",$F508="Due today",$F508="Spike"),$C508,0))</f>
        <v/>
      </c>
      <c r="H508" s="8" t="str">
        <f aca="false">IF($A508="","",SUBSTITUTE(SUBSTITUTE(SUBSTITUTE($A508&amp;"","~","~~"),"*","~*"),"?","~?"))</f>
        <v/>
      </c>
    </row>
    <row r="509" customFormat="false" ht="15" hidden="false" customHeight="false" outlineLevel="0" collapsed="false">
      <c r="A509" s="11"/>
      <c r="B509" s="6"/>
      <c r="C509" s="11"/>
      <c r="D509" s="11"/>
      <c r="E509" s="8" t="str">
        <f aca="false">IF($A509="","",SUMIFS($C:$C,$A:$A,$H509,$B:$B,"&gt;="&amp;INT($B509),$B:$B,"&lt;"&amp;(INT($B509)+1)))</f>
        <v/>
      </c>
      <c r="F509" s="19" t="str">
        <f aca="false">IF($A509="","",IF(ISNA(MATCH($H509,Buffers!$AE:$AE,0)),"Not on Buffers",IF(NOT(ISNUMBER($B509)),"Needs a date",IF(INT($B509)&lt;PlanDate,"Past due",IF(INT($B509)=PlanDate,"Due today",IF(AND(INDEX(Buffers!$L:$L,MATCH($H509,Buffers!$AE:$AE,0))="Planned",$E509&gt;0,INT($B509)&lt;=PlanDate+ROUNDUP(IF(ISNUMBER(SpikeHorizon),SpikeHorizon,INDEX(Buffers!$D:$D,MATCH($H509,Buffers!$AE:$AE,0))),0),$E509&gt;=SpikePct*INDEX(Buffers!$P:$P,MATCH($H509,Buffers!$AE:$AE,0))),"Spike","Not qualified"))))))</f>
        <v/>
      </c>
      <c r="G509" s="8" t="str">
        <f aca="false">IF($A509="","",IF(OR($F509="Past due",$F509="Due today",$F509="Spike"),$C509,0))</f>
        <v/>
      </c>
      <c r="H509" s="8" t="str">
        <f aca="false">IF($A509="","",SUBSTITUTE(SUBSTITUTE(SUBSTITUTE($A509&amp;"","~","~~"),"*","~*"),"?","~?"))</f>
        <v/>
      </c>
    </row>
    <row r="510" customFormat="false" ht="15" hidden="false" customHeight="false" outlineLevel="0" collapsed="false">
      <c r="A510" s="11"/>
      <c r="B510" s="6"/>
      <c r="C510" s="11"/>
      <c r="D510" s="11"/>
      <c r="E510" s="8" t="str">
        <f aca="false">IF($A510="","",SUMIFS($C:$C,$A:$A,$H510,$B:$B,"&gt;="&amp;INT($B510),$B:$B,"&lt;"&amp;(INT($B510)+1)))</f>
        <v/>
      </c>
      <c r="F510" s="19" t="str">
        <f aca="false">IF($A510="","",IF(ISNA(MATCH($H510,Buffers!$AE:$AE,0)),"Not on Buffers",IF(NOT(ISNUMBER($B510)),"Needs a date",IF(INT($B510)&lt;PlanDate,"Past due",IF(INT($B510)=PlanDate,"Due today",IF(AND(INDEX(Buffers!$L:$L,MATCH($H510,Buffers!$AE:$AE,0))="Planned",$E510&gt;0,INT($B510)&lt;=PlanDate+ROUNDUP(IF(ISNUMBER(SpikeHorizon),SpikeHorizon,INDEX(Buffers!$D:$D,MATCH($H510,Buffers!$AE:$AE,0))),0),$E510&gt;=SpikePct*INDEX(Buffers!$P:$P,MATCH($H510,Buffers!$AE:$AE,0))),"Spike","Not qualified"))))))</f>
        <v/>
      </c>
      <c r="G510" s="8" t="str">
        <f aca="false">IF($A510="","",IF(OR($F510="Past due",$F510="Due today",$F510="Spike"),$C510,0))</f>
        <v/>
      </c>
      <c r="H510" s="8" t="str">
        <f aca="false">IF($A510="","",SUBSTITUTE(SUBSTITUTE(SUBSTITUTE($A510&amp;"","~","~~"),"*","~*"),"?","~?"))</f>
        <v/>
      </c>
    </row>
    <row r="511" customFormat="false" ht="15" hidden="false" customHeight="false" outlineLevel="0" collapsed="false">
      <c r="A511" s="11"/>
      <c r="B511" s="6"/>
      <c r="C511" s="11"/>
      <c r="D511" s="11"/>
      <c r="E511" s="8" t="str">
        <f aca="false">IF($A511="","",SUMIFS($C:$C,$A:$A,$H511,$B:$B,"&gt;="&amp;INT($B511),$B:$B,"&lt;"&amp;(INT($B511)+1)))</f>
        <v/>
      </c>
      <c r="F511" s="19" t="str">
        <f aca="false">IF($A511="","",IF(ISNA(MATCH($H511,Buffers!$AE:$AE,0)),"Not on Buffers",IF(NOT(ISNUMBER($B511)),"Needs a date",IF(INT($B511)&lt;PlanDate,"Past due",IF(INT($B511)=PlanDate,"Due today",IF(AND(INDEX(Buffers!$L:$L,MATCH($H511,Buffers!$AE:$AE,0))="Planned",$E511&gt;0,INT($B511)&lt;=PlanDate+ROUNDUP(IF(ISNUMBER(SpikeHorizon),SpikeHorizon,INDEX(Buffers!$D:$D,MATCH($H511,Buffers!$AE:$AE,0))),0),$E511&gt;=SpikePct*INDEX(Buffers!$P:$P,MATCH($H511,Buffers!$AE:$AE,0))),"Spike","Not qualified"))))))</f>
        <v/>
      </c>
      <c r="G511" s="8" t="str">
        <f aca="false">IF($A511="","",IF(OR($F511="Past due",$F511="Due today",$F511="Spike"),$C511,0))</f>
        <v/>
      </c>
      <c r="H511" s="8" t="str">
        <f aca="false">IF($A511="","",SUBSTITUTE(SUBSTITUTE(SUBSTITUTE($A511&amp;"","~","~~"),"*","~*"),"?","~?"))</f>
        <v/>
      </c>
    </row>
    <row r="512" customFormat="false" ht="15" hidden="false" customHeight="false" outlineLevel="0" collapsed="false">
      <c r="A512" s="11"/>
      <c r="B512" s="6"/>
      <c r="C512" s="11"/>
      <c r="D512" s="11"/>
      <c r="E512" s="8" t="str">
        <f aca="false">IF($A512="","",SUMIFS($C:$C,$A:$A,$H512,$B:$B,"&gt;="&amp;INT($B512),$B:$B,"&lt;"&amp;(INT($B512)+1)))</f>
        <v/>
      </c>
      <c r="F512" s="19" t="str">
        <f aca="false">IF($A512="","",IF(ISNA(MATCH($H512,Buffers!$AE:$AE,0)),"Not on Buffers",IF(NOT(ISNUMBER($B512)),"Needs a date",IF(INT($B512)&lt;PlanDate,"Past due",IF(INT($B512)=PlanDate,"Due today",IF(AND(INDEX(Buffers!$L:$L,MATCH($H512,Buffers!$AE:$AE,0))="Planned",$E512&gt;0,INT($B512)&lt;=PlanDate+ROUNDUP(IF(ISNUMBER(SpikeHorizon),SpikeHorizon,INDEX(Buffers!$D:$D,MATCH($H512,Buffers!$AE:$AE,0))),0),$E512&gt;=SpikePct*INDEX(Buffers!$P:$P,MATCH($H512,Buffers!$AE:$AE,0))),"Spike","Not qualified"))))))</f>
        <v/>
      </c>
      <c r="G512" s="8" t="str">
        <f aca="false">IF($A512="","",IF(OR($F512="Past due",$F512="Due today",$F512="Spike"),$C512,0))</f>
        <v/>
      </c>
      <c r="H512" s="8" t="str">
        <f aca="false">IF($A512="","",SUBSTITUTE(SUBSTITUTE(SUBSTITUTE($A512&amp;"","~","~~"),"*","~*"),"?","~?"))</f>
        <v/>
      </c>
    </row>
    <row r="513" customFormat="false" ht="15" hidden="false" customHeight="false" outlineLevel="0" collapsed="false">
      <c r="A513" s="11"/>
      <c r="B513" s="6"/>
      <c r="C513" s="11"/>
      <c r="D513" s="11"/>
      <c r="E513" s="8" t="str">
        <f aca="false">IF($A513="","",SUMIFS($C:$C,$A:$A,$H513,$B:$B,"&gt;="&amp;INT($B513),$B:$B,"&lt;"&amp;(INT($B513)+1)))</f>
        <v/>
      </c>
      <c r="F513" s="19" t="str">
        <f aca="false">IF($A513="","",IF(ISNA(MATCH($H513,Buffers!$AE:$AE,0)),"Not on Buffers",IF(NOT(ISNUMBER($B513)),"Needs a date",IF(INT($B513)&lt;PlanDate,"Past due",IF(INT($B513)=PlanDate,"Due today",IF(AND(INDEX(Buffers!$L:$L,MATCH($H513,Buffers!$AE:$AE,0))="Planned",$E513&gt;0,INT($B513)&lt;=PlanDate+ROUNDUP(IF(ISNUMBER(SpikeHorizon),SpikeHorizon,INDEX(Buffers!$D:$D,MATCH($H513,Buffers!$AE:$AE,0))),0),$E513&gt;=SpikePct*INDEX(Buffers!$P:$P,MATCH($H513,Buffers!$AE:$AE,0))),"Spike","Not qualified"))))))</f>
        <v/>
      </c>
      <c r="G513" s="8" t="str">
        <f aca="false">IF($A513="","",IF(OR($F513="Past due",$F513="Due today",$F513="Spike"),$C513,0))</f>
        <v/>
      </c>
      <c r="H513" s="8" t="str">
        <f aca="false">IF($A513="","",SUBSTITUTE(SUBSTITUTE(SUBSTITUTE($A513&amp;"","~","~~"),"*","~*"),"?","~?"))</f>
        <v/>
      </c>
    </row>
    <row r="514" customFormat="false" ht="15" hidden="false" customHeight="false" outlineLevel="0" collapsed="false">
      <c r="A514" s="11"/>
      <c r="B514" s="6"/>
      <c r="C514" s="11"/>
      <c r="D514" s="11"/>
      <c r="E514" s="8" t="str">
        <f aca="false">IF($A514="","",SUMIFS($C:$C,$A:$A,$H514,$B:$B,"&gt;="&amp;INT($B514),$B:$B,"&lt;"&amp;(INT($B514)+1)))</f>
        <v/>
      </c>
      <c r="F514" s="19" t="str">
        <f aca="false">IF($A514="","",IF(ISNA(MATCH($H514,Buffers!$AE:$AE,0)),"Not on Buffers",IF(NOT(ISNUMBER($B514)),"Needs a date",IF(INT($B514)&lt;PlanDate,"Past due",IF(INT($B514)=PlanDate,"Due today",IF(AND(INDEX(Buffers!$L:$L,MATCH($H514,Buffers!$AE:$AE,0))="Planned",$E514&gt;0,INT($B514)&lt;=PlanDate+ROUNDUP(IF(ISNUMBER(SpikeHorizon),SpikeHorizon,INDEX(Buffers!$D:$D,MATCH($H514,Buffers!$AE:$AE,0))),0),$E514&gt;=SpikePct*INDEX(Buffers!$P:$P,MATCH($H514,Buffers!$AE:$AE,0))),"Spike","Not qualified"))))))</f>
        <v/>
      </c>
      <c r="G514" s="8" t="str">
        <f aca="false">IF($A514="","",IF(OR($F514="Past due",$F514="Due today",$F514="Spike"),$C514,0))</f>
        <v/>
      </c>
      <c r="H514" s="8" t="str">
        <f aca="false">IF($A514="","",SUBSTITUTE(SUBSTITUTE(SUBSTITUTE($A514&amp;"","~","~~"),"*","~*"),"?","~?"))</f>
        <v/>
      </c>
    </row>
    <row r="515" customFormat="false" ht="15" hidden="false" customHeight="false" outlineLevel="0" collapsed="false">
      <c r="A515" s="11"/>
      <c r="B515" s="6"/>
      <c r="C515" s="11"/>
      <c r="D515" s="11"/>
      <c r="E515" s="8" t="str">
        <f aca="false">IF($A515="","",SUMIFS($C:$C,$A:$A,$H515,$B:$B,"&gt;="&amp;INT($B515),$B:$B,"&lt;"&amp;(INT($B515)+1)))</f>
        <v/>
      </c>
      <c r="F515" s="19" t="str">
        <f aca="false">IF($A515="","",IF(ISNA(MATCH($H515,Buffers!$AE:$AE,0)),"Not on Buffers",IF(NOT(ISNUMBER($B515)),"Needs a date",IF(INT($B515)&lt;PlanDate,"Past due",IF(INT($B515)=PlanDate,"Due today",IF(AND(INDEX(Buffers!$L:$L,MATCH($H515,Buffers!$AE:$AE,0))="Planned",$E515&gt;0,INT($B515)&lt;=PlanDate+ROUNDUP(IF(ISNUMBER(SpikeHorizon),SpikeHorizon,INDEX(Buffers!$D:$D,MATCH($H515,Buffers!$AE:$AE,0))),0),$E515&gt;=SpikePct*INDEX(Buffers!$P:$P,MATCH($H515,Buffers!$AE:$AE,0))),"Spike","Not qualified"))))))</f>
        <v/>
      </c>
      <c r="G515" s="8" t="str">
        <f aca="false">IF($A515="","",IF(OR($F515="Past due",$F515="Due today",$F515="Spike"),$C515,0))</f>
        <v/>
      </c>
      <c r="H515" s="8" t="str">
        <f aca="false">IF($A515="","",SUBSTITUTE(SUBSTITUTE(SUBSTITUTE($A515&amp;"","~","~~"),"*","~*"),"?","~?"))</f>
        <v/>
      </c>
    </row>
    <row r="516" customFormat="false" ht="15" hidden="false" customHeight="false" outlineLevel="0" collapsed="false">
      <c r="A516" s="11"/>
      <c r="B516" s="6"/>
      <c r="C516" s="11"/>
      <c r="D516" s="11"/>
      <c r="E516" s="8" t="str">
        <f aca="false">IF($A516="","",SUMIFS($C:$C,$A:$A,$H516,$B:$B,"&gt;="&amp;INT($B516),$B:$B,"&lt;"&amp;(INT($B516)+1)))</f>
        <v/>
      </c>
      <c r="F516" s="19" t="str">
        <f aca="false">IF($A516="","",IF(ISNA(MATCH($H516,Buffers!$AE:$AE,0)),"Not on Buffers",IF(NOT(ISNUMBER($B516)),"Needs a date",IF(INT($B516)&lt;PlanDate,"Past due",IF(INT($B516)=PlanDate,"Due today",IF(AND(INDEX(Buffers!$L:$L,MATCH($H516,Buffers!$AE:$AE,0))="Planned",$E516&gt;0,INT($B516)&lt;=PlanDate+ROUNDUP(IF(ISNUMBER(SpikeHorizon),SpikeHorizon,INDEX(Buffers!$D:$D,MATCH($H516,Buffers!$AE:$AE,0))),0),$E516&gt;=SpikePct*INDEX(Buffers!$P:$P,MATCH($H516,Buffers!$AE:$AE,0))),"Spike","Not qualified"))))))</f>
        <v/>
      </c>
      <c r="G516" s="8" t="str">
        <f aca="false">IF($A516="","",IF(OR($F516="Past due",$F516="Due today",$F516="Spike"),$C516,0))</f>
        <v/>
      </c>
      <c r="H516" s="8" t="str">
        <f aca="false">IF($A516="","",SUBSTITUTE(SUBSTITUTE(SUBSTITUTE($A516&amp;"","~","~~"),"*","~*"),"?","~?"))</f>
        <v/>
      </c>
    </row>
    <row r="517" customFormat="false" ht="15" hidden="false" customHeight="false" outlineLevel="0" collapsed="false">
      <c r="A517" s="11"/>
      <c r="B517" s="6"/>
      <c r="C517" s="11"/>
      <c r="D517" s="11"/>
      <c r="E517" s="8" t="str">
        <f aca="false">IF($A517="","",SUMIFS($C:$C,$A:$A,$H517,$B:$B,"&gt;="&amp;INT($B517),$B:$B,"&lt;"&amp;(INT($B517)+1)))</f>
        <v/>
      </c>
      <c r="F517" s="19" t="str">
        <f aca="false">IF($A517="","",IF(ISNA(MATCH($H517,Buffers!$AE:$AE,0)),"Not on Buffers",IF(NOT(ISNUMBER($B517)),"Needs a date",IF(INT($B517)&lt;PlanDate,"Past due",IF(INT($B517)=PlanDate,"Due today",IF(AND(INDEX(Buffers!$L:$L,MATCH($H517,Buffers!$AE:$AE,0))="Planned",$E517&gt;0,INT($B517)&lt;=PlanDate+ROUNDUP(IF(ISNUMBER(SpikeHorizon),SpikeHorizon,INDEX(Buffers!$D:$D,MATCH($H517,Buffers!$AE:$AE,0))),0),$E517&gt;=SpikePct*INDEX(Buffers!$P:$P,MATCH($H517,Buffers!$AE:$AE,0))),"Spike","Not qualified"))))))</f>
        <v/>
      </c>
      <c r="G517" s="8" t="str">
        <f aca="false">IF($A517="","",IF(OR($F517="Past due",$F517="Due today",$F517="Spike"),$C517,0))</f>
        <v/>
      </c>
      <c r="H517" s="8" t="str">
        <f aca="false">IF($A517="","",SUBSTITUTE(SUBSTITUTE(SUBSTITUTE($A517&amp;"","~","~~"),"*","~*"),"?","~?"))</f>
        <v/>
      </c>
    </row>
    <row r="518" customFormat="false" ht="15" hidden="false" customHeight="false" outlineLevel="0" collapsed="false">
      <c r="A518" s="11"/>
      <c r="B518" s="6"/>
      <c r="C518" s="11"/>
      <c r="D518" s="11"/>
      <c r="E518" s="8" t="str">
        <f aca="false">IF($A518="","",SUMIFS($C:$C,$A:$A,$H518,$B:$B,"&gt;="&amp;INT($B518),$B:$B,"&lt;"&amp;(INT($B518)+1)))</f>
        <v/>
      </c>
      <c r="F518" s="19" t="str">
        <f aca="false">IF($A518="","",IF(ISNA(MATCH($H518,Buffers!$AE:$AE,0)),"Not on Buffers",IF(NOT(ISNUMBER($B518)),"Needs a date",IF(INT($B518)&lt;PlanDate,"Past due",IF(INT($B518)=PlanDate,"Due today",IF(AND(INDEX(Buffers!$L:$L,MATCH($H518,Buffers!$AE:$AE,0))="Planned",$E518&gt;0,INT($B518)&lt;=PlanDate+ROUNDUP(IF(ISNUMBER(SpikeHorizon),SpikeHorizon,INDEX(Buffers!$D:$D,MATCH($H518,Buffers!$AE:$AE,0))),0),$E518&gt;=SpikePct*INDEX(Buffers!$P:$P,MATCH($H518,Buffers!$AE:$AE,0))),"Spike","Not qualified"))))))</f>
        <v/>
      </c>
      <c r="G518" s="8" t="str">
        <f aca="false">IF($A518="","",IF(OR($F518="Past due",$F518="Due today",$F518="Spike"),$C518,0))</f>
        <v/>
      </c>
      <c r="H518" s="8" t="str">
        <f aca="false">IF($A518="","",SUBSTITUTE(SUBSTITUTE(SUBSTITUTE($A518&amp;"","~","~~"),"*","~*"),"?","~?"))</f>
        <v/>
      </c>
    </row>
    <row r="519" customFormat="false" ht="15" hidden="false" customHeight="false" outlineLevel="0" collapsed="false">
      <c r="A519" s="11"/>
      <c r="B519" s="6"/>
      <c r="C519" s="11"/>
      <c r="D519" s="11"/>
      <c r="E519" s="8" t="str">
        <f aca="false">IF($A519="","",SUMIFS($C:$C,$A:$A,$H519,$B:$B,"&gt;="&amp;INT($B519),$B:$B,"&lt;"&amp;(INT($B519)+1)))</f>
        <v/>
      </c>
      <c r="F519" s="19" t="str">
        <f aca="false">IF($A519="","",IF(ISNA(MATCH($H519,Buffers!$AE:$AE,0)),"Not on Buffers",IF(NOT(ISNUMBER($B519)),"Needs a date",IF(INT($B519)&lt;PlanDate,"Past due",IF(INT($B519)=PlanDate,"Due today",IF(AND(INDEX(Buffers!$L:$L,MATCH($H519,Buffers!$AE:$AE,0))="Planned",$E519&gt;0,INT($B519)&lt;=PlanDate+ROUNDUP(IF(ISNUMBER(SpikeHorizon),SpikeHorizon,INDEX(Buffers!$D:$D,MATCH($H519,Buffers!$AE:$AE,0))),0),$E519&gt;=SpikePct*INDEX(Buffers!$P:$P,MATCH($H519,Buffers!$AE:$AE,0))),"Spike","Not qualified"))))))</f>
        <v/>
      </c>
      <c r="G519" s="8" t="str">
        <f aca="false">IF($A519="","",IF(OR($F519="Past due",$F519="Due today",$F519="Spike"),$C519,0))</f>
        <v/>
      </c>
      <c r="H519" s="8" t="str">
        <f aca="false">IF($A519="","",SUBSTITUTE(SUBSTITUTE(SUBSTITUTE($A519&amp;"","~","~~"),"*","~*"),"?","~?"))</f>
        <v/>
      </c>
    </row>
    <row r="520" customFormat="false" ht="15" hidden="false" customHeight="false" outlineLevel="0" collapsed="false">
      <c r="A520" s="11"/>
      <c r="B520" s="6"/>
      <c r="C520" s="11"/>
      <c r="D520" s="11"/>
      <c r="E520" s="8" t="str">
        <f aca="false">IF($A520="","",SUMIFS($C:$C,$A:$A,$H520,$B:$B,"&gt;="&amp;INT($B520),$B:$B,"&lt;"&amp;(INT($B520)+1)))</f>
        <v/>
      </c>
      <c r="F520" s="19" t="str">
        <f aca="false">IF($A520="","",IF(ISNA(MATCH($H520,Buffers!$AE:$AE,0)),"Not on Buffers",IF(NOT(ISNUMBER($B520)),"Needs a date",IF(INT($B520)&lt;PlanDate,"Past due",IF(INT($B520)=PlanDate,"Due today",IF(AND(INDEX(Buffers!$L:$L,MATCH($H520,Buffers!$AE:$AE,0))="Planned",$E520&gt;0,INT($B520)&lt;=PlanDate+ROUNDUP(IF(ISNUMBER(SpikeHorizon),SpikeHorizon,INDEX(Buffers!$D:$D,MATCH($H520,Buffers!$AE:$AE,0))),0),$E520&gt;=SpikePct*INDEX(Buffers!$P:$P,MATCH($H520,Buffers!$AE:$AE,0))),"Spike","Not qualified"))))))</f>
        <v/>
      </c>
      <c r="G520" s="8" t="str">
        <f aca="false">IF($A520="","",IF(OR($F520="Past due",$F520="Due today",$F520="Spike"),$C520,0))</f>
        <v/>
      </c>
      <c r="H520" s="8" t="str">
        <f aca="false">IF($A520="","",SUBSTITUTE(SUBSTITUTE(SUBSTITUTE($A520&amp;"","~","~~"),"*","~*"),"?","~?"))</f>
        <v/>
      </c>
    </row>
    <row r="521" customFormat="false" ht="15" hidden="false" customHeight="false" outlineLevel="0" collapsed="false">
      <c r="A521" s="11"/>
      <c r="B521" s="6"/>
      <c r="C521" s="11"/>
      <c r="D521" s="11"/>
      <c r="E521" s="8" t="str">
        <f aca="false">IF($A521="","",SUMIFS($C:$C,$A:$A,$H521,$B:$B,"&gt;="&amp;INT($B521),$B:$B,"&lt;"&amp;(INT($B521)+1)))</f>
        <v/>
      </c>
      <c r="F521" s="19" t="str">
        <f aca="false">IF($A521="","",IF(ISNA(MATCH($H521,Buffers!$AE:$AE,0)),"Not on Buffers",IF(NOT(ISNUMBER($B521)),"Needs a date",IF(INT($B521)&lt;PlanDate,"Past due",IF(INT($B521)=PlanDate,"Due today",IF(AND(INDEX(Buffers!$L:$L,MATCH($H521,Buffers!$AE:$AE,0))="Planned",$E521&gt;0,INT($B521)&lt;=PlanDate+ROUNDUP(IF(ISNUMBER(SpikeHorizon),SpikeHorizon,INDEX(Buffers!$D:$D,MATCH($H521,Buffers!$AE:$AE,0))),0),$E521&gt;=SpikePct*INDEX(Buffers!$P:$P,MATCH($H521,Buffers!$AE:$AE,0))),"Spike","Not qualified"))))))</f>
        <v/>
      </c>
      <c r="G521" s="8" t="str">
        <f aca="false">IF($A521="","",IF(OR($F521="Past due",$F521="Due today",$F521="Spike"),$C521,0))</f>
        <v/>
      </c>
      <c r="H521" s="8" t="str">
        <f aca="false">IF($A521="","",SUBSTITUTE(SUBSTITUTE(SUBSTITUTE($A521&amp;"","~","~~"),"*","~*"),"?","~?"))</f>
        <v/>
      </c>
    </row>
    <row r="522" customFormat="false" ht="15" hidden="false" customHeight="false" outlineLevel="0" collapsed="false">
      <c r="A522" s="11"/>
      <c r="B522" s="6"/>
      <c r="C522" s="11"/>
      <c r="D522" s="11"/>
      <c r="E522" s="8" t="str">
        <f aca="false">IF($A522="","",SUMIFS($C:$C,$A:$A,$H522,$B:$B,"&gt;="&amp;INT($B522),$B:$B,"&lt;"&amp;(INT($B522)+1)))</f>
        <v/>
      </c>
      <c r="F522" s="19" t="str">
        <f aca="false">IF($A522="","",IF(ISNA(MATCH($H522,Buffers!$AE:$AE,0)),"Not on Buffers",IF(NOT(ISNUMBER($B522)),"Needs a date",IF(INT($B522)&lt;PlanDate,"Past due",IF(INT($B522)=PlanDate,"Due today",IF(AND(INDEX(Buffers!$L:$L,MATCH($H522,Buffers!$AE:$AE,0))="Planned",$E522&gt;0,INT($B522)&lt;=PlanDate+ROUNDUP(IF(ISNUMBER(SpikeHorizon),SpikeHorizon,INDEX(Buffers!$D:$D,MATCH($H522,Buffers!$AE:$AE,0))),0),$E522&gt;=SpikePct*INDEX(Buffers!$P:$P,MATCH($H522,Buffers!$AE:$AE,0))),"Spike","Not qualified"))))))</f>
        <v/>
      </c>
      <c r="G522" s="8" t="str">
        <f aca="false">IF($A522="","",IF(OR($F522="Past due",$F522="Due today",$F522="Spike"),$C522,0))</f>
        <v/>
      </c>
      <c r="H522" s="8" t="str">
        <f aca="false">IF($A522="","",SUBSTITUTE(SUBSTITUTE(SUBSTITUTE($A522&amp;"","~","~~"),"*","~*"),"?","~?"))</f>
        <v/>
      </c>
    </row>
    <row r="523" customFormat="false" ht="15" hidden="false" customHeight="false" outlineLevel="0" collapsed="false">
      <c r="A523" s="11"/>
      <c r="B523" s="6"/>
      <c r="C523" s="11"/>
      <c r="D523" s="11"/>
      <c r="E523" s="8" t="str">
        <f aca="false">IF($A523="","",SUMIFS($C:$C,$A:$A,$H523,$B:$B,"&gt;="&amp;INT($B523),$B:$B,"&lt;"&amp;(INT($B523)+1)))</f>
        <v/>
      </c>
      <c r="F523" s="19" t="str">
        <f aca="false">IF($A523="","",IF(ISNA(MATCH($H523,Buffers!$AE:$AE,0)),"Not on Buffers",IF(NOT(ISNUMBER($B523)),"Needs a date",IF(INT($B523)&lt;PlanDate,"Past due",IF(INT($B523)=PlanDate,"Due today",IF(AND(INDEX(Buffers!$L:$L,MATCH($H523,Buffers!$AE:$AE,0))="Planned",$E523&gt;0,INT($B523)&lt;=PlanDate+ROUNDUP(IF(ISNUMBER(SpikeHorizon),SpikeHorizon,INDEX(Buffers!$D:$D,MATCH($H523,Buffers!$AE:$AE,0))),0),$E523&gt;=SpikePct*INDEX(Buffers!$P:$P,MATCH($H523,Buffers!$AE:$AE,0))),"Spike","Not qualified"))))))</f>
        <v/>
      </c>
      <c r="G523" s="8" t="str">
        <f aca="false">IF($A523="","",IF(OR($F523="Past due",$F523="Due today",$F523="Spike"),$C523,0))</f>
        <v/>
      </c>
      <c r="H523" s="8" t="str">
        <f aca="false">IF($A523="","",SUBSTITUTE(SUBSTITUTE(SUBSTITUTE($A523&amp;"","~","~~"),"*","~*"),"?","~?"))</f>
        <v/>
      </c>
    </row>
    <row r="524" customFormat="false" ht="15" hidden="false" customHeight="false" outlineLevel="0" collapsed="false">
      <c r="A524" s="11"/>
      <c r="B524" s="6"/>
      <c r="C524" s="11"/>
      <c r="D524" s="11"/>
      <c r="E524" s="8" t="str">
        <f aca="false">IF($A524="","",SUMIFS($C:$C,$A:$A,$H524,$B:$B,"&gt;="&amp;INT($B524),$B:$B,"&lt;"&amp;(INT($B524)+1)))</f>
        <v/>
      </c>
      <c r="F524" s="19" t="str">
        <f aca="false">IF($A524="","",IF(ISNA(MATCH($H524,Buffers!$AE:$AE,0)),"Not on Buffers",IF(NOT(ISNUMBER($B524)),"Needs a date",IF(INT($B524)&lt;PlanDate,"Past due",IF(INT($B524)=PlanDate,"Due today",IF(AND(INDEX(Buffers!$L:$L,MATCH($H524,Buffers!$AE:$AE,0))="Planned",$E524&gt;0,INT($B524)&lt;=PlanDate+ROUNDUP(IF(ISNUMBER(SpikeHorizon),SpikeHorizon,INDEX(Buffers!$D:$D,MATCH($H524,Buffers!$AE:$AE,0))),0),$E524&gt;=SpikePct*INDEX(Buffers!$P:$P,MATCH($H524,Buffers!$AE:$AE,0))),"Spike","Not qualified"))))))</f>
        <v/>
      </c>
      <c r="G524" s="8" t="str">
        <f aca="false">IF($A524="","",IF(OR($F524="Past due",$F524="Due today",$F524="Spike"),$C524,0))</f>
        <v/>
      </c>
      <c r="H524" s="8" t="str">
        <f aca="false">IF($A524="","",SUBSTITUTE(SUBSTITUTE(SUBSTITUTE($A524&amp;"","~","~~"),"*","~*"),"?","~?"))</f>
        <v/>
      </c>
    </row>
    <row r="525" customFormat="false" ht="15" hidden="false" customHeight="false" outlineLevel="0" collapsed="false">
      <c r="A525" s="11"/>
      <c r="B525" s="6"/>
      <c r="C525" s="11"/>
      <c r="D525" s="11"/>
      <c r="E525" s="8" t="str">
        <f aca="false">IF($A525="","",SUMIFS($C:$C,$A:$A,$H525,$B:$B,"&gt;="&amp;INT($B525),$B:$B,"&lt;"&amp;(INT($B525)+1)))</f>
        <v/>
      </c>
      <c r="F525" s="19" t="str">
        <f aca="false">IF($A525="","",IF(ISNA(MATCH($H525,Buffers!$AE:$AE,0)),"Not on Buffers",IF(NOT(ISNUMBER($B525)),"Needs a date",IF(INT($B525)&lt;PlanDate,"Past due",IF(INT($B525)=PlanDate,"Due today",IF(AND(INDEX(Buffers!$L:$L,MATCH($H525,Buffers!$AE:$AE,0))="Planned",$E525&gt;0,INT($B525)&lt;=PlanDate+ROUNDUP(IF(ISNUMBER(SpikeHorizon),SpikeHorizon,INDEX(Buffers!$D:$D,MATCH($H525,Buffers!$AE:$AE,0))),0),$E525&gt;=SpikePct*INDEX(Buffers!$P:$P,MATCH($H525,Buffers!$AE:$AE,0))),"Spike","Not qualified"))))))</f>
        <v/>
      </c>
      <c r="G525" s="8" t="str">
        <f aca="false">IF($A525="","",IF(OR($F525="Past due",$F525="Due today",$F525="Spike"),$C525,0))</f>
        <v/>
      </c>
      <c r="H525" s="8" t="str">
        <f aca="false">IF($A525="","",SUBSTITUTE(SUBSTITUTE(SUBSTITUTE($A525&amp;"","~","~~"),"*","~*"),"?","~?"))</f>
        <v/>
      </c>
    </row>
    <row r="526" customFormat="false" ht="15" hidden="false" customHeight="false" outlineLevel="0" collapsed="false">
      <c r="A526" s="11"/>
      <c r="B526" s="6"/>
      <c r="C526" s="11"/>
      <c r="D526" s="11"/>
      <c r="E526" s="8" t="str">
        <f aca="false">IF($A526="","",SUMIFS($C:$C,$A:$A,$H526,$B:$B,"&gt;="&amp;INT($B526),$B:$B,"&lt;"&amp;(INT($B526)+1)))</f>
        <v/>
      </c>
      <c r="F526" s="19" t="str">
        <f aca="false">IF($A526="","",IF(ISNA(MATCH($H526,Buffers!$AE:$AE,0)),"Not on Buffers",IF(NOT(ISNUMBER($B526)),"Needs a date",IF(INT($B526)&lt;PlanDate,"Past due",IF(INT($B526)=PlanDate,"Due today",IF(AND(INDEX(Buffers!$L:$L,MATCH($H526,Buffers!$AE:$AE,0))="Planned",$E526&gt;0,INT($B526)&lt;=PlanDate+ROUNDUP(IF(ISNUMBER(SpikeHorizon),SpikeHorizon,INDEX(Buffers!$D:$D,MATCH($H526,Buffers!$AE:$AE,0))),0),$E526&gt;=SpikePct*INDEX(Buffers!$P:$P,MATCH($H526,Buffers!$AE:$AE,0))),"Spike","Not qualified"))))))</f>
        <v/>
      </c>
      <c r="G526" s="8" t="str">
        <f aca="false">IF($A526="","",IF(OR($F526="Past due",$F526="Due today",$F526="Spike"),$C526,0))</f>
        <v/>
      </c>
      <c r="H526" s="8" t="str">
        <f aca="false">IF($A526="","",SUBSTITUTE(SUBSTITUTE(SUBSTITUTE($A526&amp;"","~","~~"),"*","~*"),"?","~?"))</f>
        <v/>
      </c>
    </row>
    <row r="527" customFormat="false" ht="15" hidden="false" customHeight="false" outlineLevel="0" collapsed="false">
      <c r="A527" s="11"/>
      <c r="B527" s="6"/>
      <c r="C527" s="11"/>
      <c r="D527" s="11"/>
      <c r="E527" s="8" t="str">
        <f aca="false">IF($A527="","",SUMIFS($C:$C,$A:$A,$H527,$B:$B,"&gt;="&amp;INT($B527),$B:$B,"&lt;"&amp;(INT($B527)+1)))</f>
        <v/>
      </c>
      <c r="F527" s="19" t="str">
        <f aca="false">IF($A527="","",IF(ISNA(MATCH($H527,Buffers!$AE:$AE,0)),"Not on Buffers",IF(NOT(ISNUMBER($B527)),"Needs a date",IF(INT($B527)&lt;PlanDate,"Past due",IF(INT($B527)=PlanDate,"Due today",IF(AND(INDEX(Buffers!$L:$L,MATCH($H527,Buffers!$AE:$AE,0))="Planned",$E527&gt;0,INT($B527)&lt;=PlanDate+ROUNDUP(IF(ISNUMBER(SpikeHorizon),SpikeHorizon,INDEX(Buffers!$D:$D,MATCH($H527,Buffers!$AE:$AE,0))),0),$E527&gt;=SpikePct*INDEX(Buffers!$P:$P,MATCH($H527,Buffers!$AE:$AE,0))),"Spike","Not qualified"))))))</f>
        <v/>
      </c>
      <c r="G527" s="8" t="str">
        <f aca="false">IF($A527="","",IF(OR($F527="Past due",$F527="Due today",$F527="Spike"),$C527,0))</f>
        <v/>
      </c>
      <c r="H527" s="8" t="str">
        <f aca="false">IF($A527="","",SUBSTITUTE(SUBSTITUTE(SUBSTITUTE($A527&amp;"","~","~~"),"*","~*"),"?","~?"))</f>
        <v/>
      </c>
    </row>
    <row r="528" customFormat="false" ht="15" hidden="false" customHeight="false" outlineLevel="0" collapsed="false">
      <c r="A528" s="11"/>
      <c r="B528" s="6"/>
      <c r="C528" s="11"/>
      <c r="D528" s="11"/>
      <c r="E528" s="8" t="str">
        <f aca="false">IF($A528="","",SUMIFS($C:$C,$A:$A,$H528,$B:$B,"&gt;="&amp;INT($B528),$B:$B,"&lt;"&amp;(INT($B528)+1)))</f>
        <v/>
      </c>
      <c r="F528" s="19" t="str">
        <f aca="false">IF($A528="","",IF(ISNA(MATCH($H528,Buffers!$AE:$AE,0)),"Not on Buffers",IF(NOT(ISNUMBER($B528)),"Needs a date",IF(INT($B528)&lt;PlanDate,"Past due",IF(INT($B528)=PlanDate,"Due today",IF(AND(INDEX(Buffers!$L:$L,MATCH($H528,Buffers!$AE:$AE,0))="Planned",$E528&gt;0,INT($B528)&lt;=PlanDate+ROUNDUP(IF(ISNUMBER(SpikeHorizon),SpikeHorizon,INDEX(Buffers!$D:$D,MATCH($H528,Buffers!$AE:$AE,0))),0),$E528&gt;=SpikePct*INDEX(Buffers!$P:$P,MATCH($H528,Buffers!$AE:$AE,0))),"Spike","Not qualified"))))))</f>
        <v/>
      </c>
      <c r="G528" s="8" t="str">
        <f aca="false">IF($A528="","",IF(OR($F528="Past due",$F528="Due today",$F528="Spike"),$C528,0))</f>
        <v/>
      </c>
      <c r="H528" s="8" t="str">
        <f aca="false">IF($A528="","",SUBSTITUTE(SUBSTITUTE(SUBSTITUTE($A528&amp;"","~","~~"),"*","~*"),"?","~?"))</f>
        <v/>
      </c>
    </row>
    <row r="529" customFormat="false" ht="15" hidden="false" customHeight="false" outlineLevel="0" collapsed="false">
      <c r="A529" s="11"/>
      <c r="B529" s="6"/>
      <c r="C529" s="11"/>
      <c r="D529" s="11"/>
      <c r="E529" s="8" t="str">
        <f aca="false">IF($A529="","",SUMIFS($C:$C,$A:$A,$H529,$B:$B,"&gt;="&amp;INT($B529),$B:$B,"&lt;"&amp;(INT($B529)+1)))</f>
        <v/>
      </c>
      <c r="F529" s="19" t="str">
        <f aca="false">IF($A529="","",IF(ISNA(MATCH($H529,Buffers!$AE:$AE,0)),"Not on Buffers",IF(NOT(ISNUMBER($B529)),"Needs a date",IF(INT($B529)&lt;PlanDate,"Past due",IF(INT($B529)=PlanDate,"Due today",IF(AND(INDEX(Buffers!$L:$L,MATCH($H529,Buffers!$AE:$AE,0))="Planned",$E529&gt;0,INT($B529)&lt;=PlanDate+ROUNDUP(IF(ISNUMBER(SpikeHorizon),SpikeHorizon,INDEX(Buffers!$D:$D,MATCH($H529,Buffers!$AE:$AE,0))),0),$E529&gt;=SpikePct*INDEX(Buffers!$P:$P,MATCH($H529,Buffers!$AE:$AE,0))),"Spike","Not qualified"))))))</f>
        <v/>
      </c>
      <c r="G529" s="8" t="str">
        <f aca="false">IF($A529="","",IF(OR($F529="Past due",$F529="Due today",$F529="Spike"),$C529,0))</f>
        <v/>
      </c>
      <c r="H529" s="8" t="str">
        <f aca="false">IF($A529="","",SUBSTITUTE(SUBSTITUTE(SUBSTITUTE($A529&amp;"","~","~~"),"*","~*"),"?","~?"))</f>
        <v/>
      </c>
    </row>
    <row r="530" customFormat="false" ht="15" hidden="false" customHeight="false" outlineLevel="0" collapsed="false">
      <c r="A530" s="11"/>
      <c r="B530" s="6"/>
      <c r="C530" s="11"/>
      <c r="D530" s="11"/>
      <c r="E530" s="8" t="str">
        <f aca="false">IF($A530="","",SUMIFS($C:$C,$A:$A,$H530,$B:$B,"&gt;="&amp;INT($B530),$B:$B,"&lt;"&amp;(INT($B530)+1)))</f>
        <v/>
      </c>
      <c r="F530" s="19" t="str">
        <f aca="false">IF($A530="","",IF(ISNA(MATCH($H530,Buffers!$AE:$AE,0)),"Not on Buffers",IF(NOT(ISNUMBER($B530)),"Needs a date",IF(INT($B530)&lt;PlanDate,"Past due",IF(INT($B530)=PlanDate,"Due today",IF(AND(INDEX(Buffers!$L:$L,MATCH($H530,Buffers!$AE:$AE,0))="Planned",$E530&gt;0,INT($B530)&lt;=PlanDate+ROUNDUP(IF(ISNUMBER(SpikeHorizon),SpikeHorizon,INDEX(Buffers!$D:$D,MATCH($H530,Buffers!$AE:$AE,0))),0),$E530&gt;=SpikePct*INDEX(Buffers!$P:$P,MATCH($H530,Buffers!$AE:$AE,0))),"Spike","Not qualified"))))))</f>
        <v/>
      </c>
      <c r="G530" s="8" t="str">
        <f aca="false">IF($A530="","",IF(OR($F530="Past due",$F530="Due today",$F530="Spike"),$C530,0))</f>
        <v/>
      </c>
      <c r="H530" s="8" t="str">
        <f aca="false">IF($A530="","",SUBSTITUTE(SUBSTITUTE(SUBSTITUTE($A530&amp;"","~","~~"),"*","~*"),"?","~?"))</f>
        <v/>
      </c>
    </row>
    <row r="531" customFormat="false" ht="15" hidden="false" customHeight="false" outlineLevel="0" collapsed="false">
      <c r="A531" s="11"/>
      <c r="B531" s="6"/>
      <c r="C531" s="11"/>
      <c r="D531" s="11"/>
      <c r="E531" s="8" t="str">
        <f aca="false">IF($A531="","",SUMIFS($C:$C,$A:$A,$H531,$B:$B,"&gt;="&amp;INT($B531),$B:$B,"&lt;"&amp;(INT($B531)+1)))</f>
        <v/>
      </c>
      <c r="F531" s="19" t="str">
        <f aca="false">IF($A531="","",IF(ISNA(MATCH($H531,Buffers!$AE:$AE,0)),"Not on Buffers",IF(NOT(ISNUMBER($B531)),"Needs a date",IF(INT($B531)&lt;PlanDate,"Past due",IF(INT($B531)=PlanDate,"Due today",IF(AND(INDEX(Buffers!$L:$L,MATCH($H531,Buffers!$AE:$AE,0))="Planned",$E531&gt;0,INT($B531)&lt;=PlanDate+ROUNDUP(IF(ISNUMBER(SpikeHorizon),SpikeHorizon,INDEX(Buffers!$D:$D,MATCH($H531,Buffers!$AE:$AE,0))),0),$E531&gt;=SpikePct*INDEX(Buffers!$P:$P,MATCH($H531,Buffers!$AE:$AE,0))),"Spike","Not qualified"))))))</f>
        <v/>
      </c>
      <c r="G531" s="8" t="str">
        <f aca="false">IF($A531="","",IF(OR($F531="Past due",$F531="Due today",$F531="Spike"),$C531,0))</f>
        <v/>
      </c>
      <c r="H531" s="8" t="str">
        <f aca="false">IF($A531="","",SUBSTITUTE(SUBSTITUTE(SUBSTITUTE($A531&amp;"","~","~~"),"*","~*"),"?","~?"))</f>
        <v/>
      </c>
    </row>
    <row r="532" customFormat="false" ht="15" hidden="false" customHeight="false" outlineLevel="0" collapsed="false">
      <c r="A532" s="11"/>
      <c r="B532" s="6"/>
      <c r="C532" s="11"/>
      <c r="D532" s="11"/>
      <c r="E532" s="8" t="str">
        <f aca="false">IF($A532="","",SUMIFS($C:$C,$A:$A,$H532,$B:$B,"&gt;="&amp;INT($B532),$B:$B,"&lt;"&amp;(INT($B532)+1)))</f>
        <v/>
      </c>
      <c r="F532" s="19" t="str">
        <f aca="false">IF($A532="","",IF(ISNA(MATCH($H532,Buffers!$AE:$AE,0)),"Not on Buffers",IF(NOT(ISNUMBER($B532)),"Needs a date",IF(INT($B532)&lt;PlanDate,"Past due",IF(INT($B532)=PlanDate,"Due today",IF(AND(INDEX(Buffers!$L:$L,MATCH($H532,Buffers!$AE:$AE,0))="Planned",$E532&gt;0,INT($B532)&lt;=PlanDate+ROUNDUP(IF(ISNUMBER(SpikeHorizon),SpikeHorizon,INDEX(Buffers!$D:$D,MATCH($H532,Buffers!$AE:$AE,0))),0),$E532&gt;=SpikePct*INDEX(Buffers!$P:$P,MATCH($H532,Buffers!$AE:$AE,0))),"Spike","Not qualified"))))))</f>
        <v/>
      </c>
      <c r="G532" s="8" t="str">
        <f aca="false">IF($A532="","",IF(OR($F532="Past due",$F532="Due today",$F532="Spike"),$C532,0))</f>
        <v/>
      </c>
      <c r="H532" s="8" t="str">
        <f aca="false">IF($A532="","",SUBSTITUTE(SUBSTITUTE(SUBSTITUTE($A532&amp;"","~","~~"),"*","~*"),"?","~?"))</f>
        <v/>
      </c>
    </row>
    <row r="533" customFormat="false" ht="15" hidden="false" customHeight="false" outlineLevel="0" collapsed="false">
      <c r="A533" s="11"/>
      <c r="B533" s="6"/>
      <c r="C533" s="11"/>
      <c r="D533" s="11"/>
      <c r="E533" s="8" t="str">
        <f aca="false">IF($A533="","",SUMIFS($C:$C,$A:$A,$H533,$B:$B,"&gt;="&amp;INT($B533),$B:$B,"&lt;"&amp;(INT($B533)+1)))</f>
        <v/>
      </c>
      <c r="F533" s="19" t="str">
        <f aca="false">IF($A533="","",IF(ISNA(MATCH($H533,Buffers!$AE:$AE,0)),"Not on Buffers",IF(NOT(ISNUMBER($B533)),"Needs a date",IF(INT($B533)&lt;PlanDate,"Past due",IF(INT($B533)=PlanDate,"Due today",IF(AND(INDEX(Buffers!$L:$L,MATCH($H533,Buffers!$AE:$AE,0))="Planned",$E533&gt;0,INT($B533)&lt;=PlanDate+ROUNDUP(IF(ISNUMBER(SpikeHorizon),SpikeHorizon,INDEX(Buffers!$D:$D,MATCH($H533,Buffers!$AE:$AE,0))),0),$E533&gt;=SpikePct*INDEX(Buffers!$P:$P,MATCH($H533,Buffers!$AE:$AE,0))),"Spike","Not qualified"))))))</f>
        <v/>
      </c>
      <c r="G533" s="8" t="str">
        <f aca="false">IF($A533="","",IF(OR($F533="Past due",$F533="Due today",$F533="Spike"),$C533,0))</f>
        <v/>
      </c>
      <c r="H533" s="8" t="str">
        <f aca="false">IF($A533="","",SUBSTITUTE(SUBSTITUTE(SUBSTITUTE($A533&amp;"","~","~~"),"*","~*"),"?","~?"))</f>
        <v/>
      </c>
    </row>
    <row r="534" customFormat="false" ht="15" hidden="false" customHeight="false" outlineLevel="0" collapsed="false">
      <c r="A534" s="11"/>
      <c r="B534" s="6"/>
      <c r="C534" s="11"/>
      <c r="D534" s="11"/>
      <c r="E534" s="8" t="str">
        <f aca="false">IF($A534="","",SUMIFS($C:$C,$A:$A,$H534,$B:$B,"&gt;="&amp;INT($B534),$B:$B,"&lt;"&amp;(INT($B534)+1)))</f>
        <v/>
      </c>
      <c r="F534" s="19" t="str">
        <f aca="false">IF($A534="","",IF(ISNA(MATCH($H534,Buffers!$AE:$AE,0)),"Not on Buffers",IF(NOT(ISNUMBER($B534)),"Needs a date",IF(INT($B534)&lt;PlanDate,"Past due",IF(INT($B534)=PlanDate,"Due today",IF(AND(INDEX(Buffers!$L:$L,MATCH($H534,Buffers!$AE:$AE,0))="Planned",$E534&gt;0,INT($B534)&lt;=PlanDate+ROUNDUP(IF(ISNUMBER(SpikeHorizon),SpikeHorizon,INDEX(Buffers!$D:$D,MATCH($H534,Buffers!$AE:$AE,0))),0),$E534&gt;=SpikePct*INDEX(Buffers!$P:$P,MATCH($H534,Buffers!$AE:$AE,0))),"Spike","Not qualified"))))))</f>
        <v/>
      </c>
      <c r="G534" s="8" t="str">
        <f aca="false">IF($A534="","",IF(OR($F534="Past due",$F534="Due today",$F534="Spike"),$C534,0))</f>
        <v/>
      </c>
      <c r="H534" s="8" t="str">
        <f aca="false">IF($A534="","",SUBSTITUTE(SUBSTITUTE(SUBSTITUTE($A534&amp;"","~","~~"),"*","~*"),"?","~?"))</f>
        <v/>
      </c>
    </row>
    <row r="535" customFormat="false" ht="15" hidden="false" customHeight="false" outlineLevel="0" collapsed="false">
      <c r="A535" s="11"/>
      <c r="B535" s="6"/>
      <c r="C535" s="11"/>
      <c r="D535" s="11"/>
      <c r="E535" s="8" t="str">
        <f aca="false">IF($A535="","",SUMIFS($C:$C,$A:$A,$H535,$B:$B,"&gt;="&amp;INT($B535),$B:$B,"&lt;"&amp;(INT($B535)+1)))</f>
        <v/>
      </c>
      <c r="F535" s="19" t="str">
        <f aca="false">IF($A535="","",IF(ISNA(MATCH($H535,Buffers!$AE:$AE,0)),"Not on Buffers",IF(NOT(ISNUMBER($B535)),"Needs a date",IF(INT($B535)&lt;PlanDate,"Past due",IF(INT($B535)=PlanDate,"Due today",IF(AND(INDEX(Buffers!$L:$L,MATCH($H535,Buffers!$AE:$AE,0))="Planned",$E535&gt;0,INT($B535)&lt;=PlanDate+ROUNDUP(IF(ISNUMBER(SpikeHorizon),SpikeHorizon,INDEX(Buffers!$D:$D,MATCH($H535,Buffers!$AE:$AE,0))),0),$E535&gt;=SpikePct*INDEX(Buffers!$P:$P,MATCH($H535,Buffers!$AE:$AE,0))),"Spike","Not qualified"))))))</f>
        <v/>
      </c>
      <c r="G535" s="8" t="str">
        <f aca="false">IF($A535="","",IF(OR($F535="Past due",$F535="Due today",$F535="Spike"),$C535,0))</f>
        <v/>
      </c>
      <c r="H535" s="8" t="str">
        <f aca="false">IF($A535="","",SUBSTITUTE(SUBSTITUTE(SUBSTITUTE($A535&amp;"","~","~~"),"*","~*"),"?","~?"))</f>
        <v/>
      </c>
    </row>
    <row r="536" customFormat="false" ht="15" hidden="false" customHeight="false" outlineLevel="0" collapsed="false">
      <c r="A536" s="11"/>
      <c r="B536" s="6"/>
      <c r="C536" s="11"/>
      <c r="D536" s="11"/>
      <c r="E536" s="8" t="str">
        <f aca="false">IF($A536="","",SUMIFS($C:$C,$A:$A,$H536,$B:$B,"&gt;="&amp;INT($B536),$B:$B,"&lt;"&amp;(INT($B536)+1)))</f>
        <v/>
      </c>
      <c r="F536" s="19" t="str">
        <f aca="false">IF($A536="","",IF(ISNA(MATCH($H536,Buffers!$AE:$AE,0)),"Not on Buffers",IF(NOT(ISNUMBER($B536)),"Needs a date",IF(INT($B536)&lt;PlanDate,"Past due",IF(INT($B536)=PlanDate,"Due today",IF(AND(INDEX(Buffers!$L:$L,MATCH($H536,Buffers!$AE:$AE,0))="Planned",$E536&gt;0,INT($B536)&lt;=PlanDate+ROUNDUP(IF(ISNUMBER(SpikeHorizon),SpikeHorizon,INDEX(Buffers!$D:$D,MATCH($H536,Buffers!$AE:$AE,0))),0),$E536&gt;=SpikePct*INDEX(Buffers!$P:$P,MATCH($H536,Buffers!$AE:$AE,0))),"Spike","Not qualified"))))))</f>
        <v/>
      </c>
      <c r="G536" s="8" t="str">
        <f aca="false">IF($A536="","",IF(OR($F536="Past due",$F536="Due today",$F536="Spike"),$C536,0))</f>
        <v/>
      </c>
      <c r="H536" s="8" t="str">
        <f aca="false">IF($A536="","",SUBSTITUTE(SUBSTITUTE(SUBSTITUTE($A536&amp;"","~","~~"),"*","~*"),"?","~?"))</f>
        <v/>
      </c>
    </row>
    <row r="537" customFormat="false" ht="15" hidden="false" customHeight="false" outlineLevel="0" collapsed="false">
      <c r="A537" s="11"/>
      <c r="B537" s="6"/>
      <c r="C537" s="11"/>
      <c r="D537" s="11"/>
      <c r="E537" s="8" t="str">
        <f aca="false">IF($A537="","",SUMIFS($C:$C,$A:$A,$H537,$B:$B,"&gt;="&amp;INT($B537),$B:$B,"&lt;"&amp;(INT($B537)+1)))</f>
        <v/>
      </c>
      <c r="F537" s="19" t="str">
        <f aca="false">IF($A537="","",IF(ISNA(MATCH($H537,Buffers!$AE:$AE,0)),"Not on Buffers",IF(NOT(ISNUMBER($B537)),"Needs a date",IF(INT($B537)&lt;PlanDate,"Past due",IF(INT($B537)=PlanDate,"Due today",IF(AND(INDEX(Buffers!$L:$L,MATCH($H537,Buffers!$AE:$AE,0))="Planned",$E537&gt;0,INT($B537)&lt;=PlanDate+ROUNDUP(IF(ISNUMBER(SpikeHorizon),SpikeHorizon,INDEX(Buffers!$D:$D,MATCH($H537,Buffers!$AE:$AE,0))),0),$E537&gt;=SpikePct*INDEX(Buffers!$P:$P,MATCH($H537,Buffers!$AE:$AE,0))),"Spike","Not qualified"))))))</f>
        <v/>
      </c>
      <c r="G537" s="8" t="str">
        <f aca="false">IF($A537="","",IF(OR($F537="Past due",$F537="Due today",$F537="Spike"),$C537,0))</f>
        <v/>
      </c>
      <c r="H537" s="8" t="str">
        <f aca="false">IF($A537="","",SUBSTITUTE(SUBSTITUTE(SUBSTITUTE($A537&amp;"","~","~~"),"*","~*"),"?","~?"))</f>
        <v/>
      </c>
    </row>
    <row r="538" customFormat="false" ht="15" hidden="false" customHeight="false" outlineLevel="0" collapsed="false">
      <c r="A538" s="11"/>
      <c r="B538" s="6"/>
      <c r="C538" s="11"/>
      <c r="D538" s="11"/>
      <c r="E538" s="8" t="str">
        <f aca="false">IF($A538="","",SUMIFS($C:$C,$A:$A,$H538,$B:$B,"&gt;="&amp;INT($B538),$B:$B,"&lt;"&amp;(INT($B538)+1)))</f>
        <v/>
      </c>
      <c r="F538" s="19" t="str">
        <f aca="false">IF($A538="","",IF(ISNA(MATCH($H538,Buffers!$AE:$AE,0)),"Not on Buffers",IF(NOT(ISNUMBER($B538)),"Needs a date",IF(INT($B538)&lt;PlanDate,"Past due",IF(INT($B538)=PlanDate,"Due today",IF(AND(INDEX(Buffers!$L:$L,MATCH($H538,Buffers!$AE:$AE,0))="Planned",$E538&gt;0,INT($B538)&lt;=PlanDate+ROUNDUP(IF(ISNUMBER(SpikeHorizon),SpikeHorizon,INDEX(Buffers!$D:$D,MATCH($H538,Buffers!$AE:$AE,0))),0),$E538&gt;=SpikePct*INDEX(Buffers!$P:$P,MATCH($H538,Buffers!$AE:$AE,0))),"Spike","Not qualified"))))))</f>
        <v/>
      </c>
      <c r="G538" s="8" t="str">
        <f aca="false">IF($A538="","",IF(OR($F538="Past due",$F538="Due today",$F538="Spike"),$C538,0))</f>
        <v/>
      </c>
      <c r="H538" s="8" t="str">
        <f aca="false">IF($A538="","",SUBSTITUTE(SUBSTITUTE(SUBSTITUTE($A538&amp;"","~","~~"),"*","~*"),"?","~?"))</f>
        <v/>
      </c>
    </row>
    <row r="539" customFormat="false" ht="15" hidden="false" customHeight="false" outlineLevel="0" collapsed="false">
      <c r="A539" s="11"/>
      <c r="B539" s="6"/>
      <c r="C539" s="11"/>
      <c r="D539" s="11"/>
      <c r="E539" s="8" t="str">
        <f aca="false">IF($A539="","",SUMIFS($C:$C,$A:$A,$H539,$B:$B,"&gt;="&amp;INT($B539),$B:$B,"&lt;"&amp;(INT($B539)+1)))</f>
        <v/>
      </c>
      <c r="F539" s="19" t="str">
        <f aca="false">IF($A539="","",IF(ISNA(MATCH($H539,Buffers!$AE:$AE,0)),"Not on Buffers",IF(NOT(ISNUMBER($B539)),"Needs a date",IF(INT($B539)&lt;PlanDate,"Past due",IF(INT($B539)=PlanDate,"Due today",IF(AND(INDEX(Buffers!$L:$L,MATCH($H539,Buffers!$AE:$AE,0))="Planned",$E539&gt;0,INT($B539)&lt;=PlanDate+ROUNDUP(IF(ISNUMBER(SpikeHorizon),SpikeHorizon,INDEX(Buffers!$D:$D,MATCH($H539,Buffers!$AE:$AE,0))),0),$E539&gt;=SpikePct*INDEX(Buffers!$P:$P,MATCH($H539,Buffers!$AE:$AE,0))),"Spike","Not qualified"))))))</f>
        <v/>
      </c>
      <c r="G539" s="8" t="str">
        <f aca="false">IF($A539="","",IF(OR($F539="Past due",$F539="Due today",$F539="Spike"),$C539,0))</f>
        <v/>
      </c>
      <c r="H539" s="8" t="str">
        <f aca="false">IF($A539="","",SUBSTITUTE(SUBSTITUTE(SUBSTITUTE($A539&amp;"","~","~~"),"*","~*"),"?","~?"))</f>
        <v/>
      </c>
    </row>
    <row r="540" customFormat="false" ht="15" hidden="false" customHeight="false" outlineLevel="0" collapsed="false">
      <c r="A540" s="11"/>
      <c r="B540" s="6"/>
      <c r="C540" s="11"/>
      <c r="D540" s="11"/>
      <c r="E540" s="8" t="str">
        <f aca="false">IF($A540="","",SUMIFS($C:$C,$A:$A,$H540,$B:$B,"&gt;="&amp;INT($B540),$B:$B,"&lt;"&amp;(INT($B540)+1)))</f>
        <v/>
      </c>
      <c r="F540" s="19" t="str">
        <f aca="false">IF($A540="","",IF(ISNA(MATCH($H540,Buffers!$AE:$AE,0)),"Not on Buffers",IF(NOT(ISNUMBER($B540)),"Needs a date",IF(INT($B540)&lt;PlanDate,"Past due",IF(INT($B540)=PlanDate,"Due today",IF(AND(INDEX(Buffers!$L:$L,MATCH($H540,Buffers!$AE:$AE,0))="Planned",$E540&gt;0,INT($B540)&lt;=PlanDate+ROUNDUP(IF(ISNUMBER(SpikeHorizon),SpikeHorizon,INDEX(Buffers!$D:$D,MATCH($H540,Buffers!$AE:$AE,0))),0),$E540&gt;=SpikePct*INDEX(Buffers!$P:$P,MATCH($H540,Buffers!$AE:$AE,0))),"Spike","Not qualified"))))))</f>
        <v/>
      </c>
      <c r="G540" s="8" t="str">
        <f aca="false">IF($A540="","",IF(OR($F540="Past due",$F540="Due today",$F540="Spike"),$C540,0))</f>
        <v/>
      </c>
      <c r="H540" s="8" t="str">
        <f aca="false">IF($A540="","",SUBSTITUTE(SUBSTITUTE(SUBSTITUTE($A540&amp;"","~","~~"),"*","~*"),"?","~?"))</f>
        <v/>
      </c>
    </row>
    <row r="541" customFormat="false" ht="15" hidden="false" customHeight="false" outlineLevel="0" collapsed="false">
      <c r="A541" s="11"/>
      <c r="B541" s="6"/>
      <c r="C541" s="11"/>
      <c r="D541" s="11"/>
      <c r="E541" s="8" t="str">
        <f aca="false">IF($A541="","",SUMIFS($C:$C,$A:$A,$H541,$B:$B,"&gt;="&amp;INT($B541),$B:$B,"&lt;"&amp;(INT($B541)+1)))</f>
        <v/>
      </c>
      <c r="F541" s="19" t="str">
        <f aca="false">IF($A541="","",IF(ISNA(MATCH($H541,Buffers!$AE:$AE,0)),"Not on Buffers",IF(NOT(ISNUMBER($B541)),"Needs a date",IF(INT($B541)&lt;PlanDate,"Past due",IF(INT($B541)=PlanDate,"Due today",IF(AND(INDEX(Buffers!$L:$L,MATCH($H541,Buffers!$AE:$AE,0))="Planned",$E541&gt;0,INT($B541)&lt;=PlanDate+ROUNDUP(IF(ISNUMBER(SpikeHorizon),SpikeHorizon,INDEX(Buffers!$D:$D,MATCH($H541,Buffers!$AE:$AE,0))),0),$E541&gt;=SpikePct*INDEX(Buffers!$P:$P,MATCH($H541,Buffers!$AE:$AE,0))),"Spike","Not qualified"))))))</f>
        <v/>
      </c>
      <c r="G541" s="8" t="str">
        <f aca="false">IF($A541="","",IF(OR($F541="Past due",$F541="Due today",$F541="Spike"),$C541,0))</f>
        <v/>
      </c>
      <c r="H541" s="8" t="str">
        <f aca="false">IF($A541="","",SUBSTITUTE(SUBSTITUTE(SUBSTITUTE($A541&amp;"","~","~~"),"*","~*"),"?","~?"))</f>
        <v/>
      </c>
    </row>
    <row r="542" customFormat="false" ht="15" hidden="false" customHeight="false" outlineLevel="0" collapsed="false">
      <c r="A542" s="11"/>
      <c r="B542" s="6"/>
      <c r="C542" s="11"/>
      <c r="D542" s="11"/>
      <c r="E542" s="8" t="str">
        <f aca="false">IF($A542="","",SUMIFS($C:$C,$A:$A,$H542,$B:$B,"&gt;="&amp;INT($B542),$B:$B,"&lt;"&amp;(INT($B542)+1)))</f>
        <v/>
      </c>
      <c r="F542" s="19" t="str">
        <f aca="false">IF($A542="","",IF(ISNA(MATCH($H542,Buffers!$AE:$AE,0)),"Not on Buffers",IF(NOT(ISNUMBER($B542)),"Needs a date",IF(INT($B542)&lt;PlanDate,"Past due",IF(INT($B542)=PlanDate,"Due today",IF(AND(INDEX(Buffers!$L:$L,MATCH($H542,Buffers!$AE:$AE,0))="Planned",$E542&gt;0,INT($B542)&lt;=PlanDate+ROUNDUP(IF(ISNUMBER(SpikeHorizon),SpikeHorizon,INDEX(Buffers!$D:$D,MATCH($H542,Buffers!$AE:$AE,0))),0),$E542&gt;=SpikePct*INDEX(Buffers!$P:$P,MATCH($H542,Buffers!$AE:$AE,0))),"Spike","Not qualified"))))))</f>
        <v/>
      </c>
      <c r="G542" s="8" t="str">
        <f aca="false">IF($A542="","",IF(OR($F542="Past due",$F542="Due today",$F542="Spike"),$C542,0))</f>
        <v/>
      </c>
      <c r="H542" s="8" t="str">
        <f aca="false">IF($A542="","",SUBSTITUTE(SUBSTITUTE(SUBSTITUTE($A542&amp;"","~","~~"),"*","~*"),"?","~?"))</f>
        <v/>
      </c>
    </row>
    <row r="543" customFormat="false" ht="15" hidden="false" customHeight="false" outlineLevel="0" collapsed="false">
      <c r="A543" s="11"/>
      <c r="B543" s="6"/>
      <c r="C543" s="11"/>
      <c r="D543" s="11"/>
      <c r="E543" s="8" t="str">
        <f aca="false">IF($A543="","",SUMIFS($C:$C,$A:$A,$H543,$B:$B,"&gt;="&amp;INT($B543),$B:$B,"&lt;"&amp;(INT($B543)+1)))</f>
        <v/>
      </c>
      <c r="F543" s="19" t="str">
        <f aca="false">IF($A543="","",IF(ISNA(MATCH($H543,Buffers!$AE:$AE,0)),"Not on Buffers",IF(NOT(ISNUMBER($B543)),"Needs a date",IF(INT($B543)&lt;PlanDate,"Past due",IF(INT($B543)=PlanDate,"Due today",IF(AND(INDEX(Buffers!$L:$L,MATCH($H543,Buffers!$AE:$AE,0))="Planned",$E543&gt;0,INT($B543)&lt;=PlanDate+ROUNDUP(IF(ISNUMBER(SpikeHorizon),SpikeHorizon,INDEX(Buffers!$D:$D,MATCH($H543,Buffers!$AE:$AE,0))),0),$E543&gt;=SpikePct*INDEX(Buffers!$P:$P,MATCH($H543,Buffers!$AE:$AE,0))),"Spike","Not qualified"))))))</f>
        <v/>
      </c>
      <c r="G543" s="8" t="str">
        <f aca="false">IF($A543="","",IF(OR($F543="Past due",$F543="Due today",$F543="Spike"),$C543,0))</f>
        <v/>
      </c>
      <c r="H543" s="8" t="str">
        <f aca="false">IF($A543="","",SUBSTITUTE(SUBSTITUTE(SUBSTITUTE($A543&amp;"","~","~~"),"*","~*"),"?","~?"))</f>
        <v/>
      </c>
    </row>
    <row r="544" customFormat="false" ht="15" hidden="false" customHeight="false" outlineLevel="0" collapsed="false">
      <c r="A544" s="11"/>
      <c r="B544" s="6"/>
      <c r="C544" s="11"/>
      <c r="D544" s="11"/>
      <c r="E544" s="8" t="str">
        <f aca="false">IF($A544="","",SUMIFS($C:$C,$A:$A,$H544,$B:$B,"&gt;="&amp;INT($B544),$B:$B,"&lt;"&amp;(INT($B544)+1)))</f>
        <v/>
      </c>
      <c r="F544" s="19" t="str">
        <f aca="false">IF($A544="","",IF(ISNA(MATCH($H544,Buffers!$AE:$AE,0)),"Not on Buffers",IF(NOT(ISNUMBER($B544)),"Needs a date",IF(INT($B544)&lt;PlanDate,"Past due",IF(INT($B544)=PlanDate,"Due today",IF(AND(INDEX(Buffers!$L:$L,MATCH($H544,Buffers!$AE:$AE,0))="Planned",$E544&gt;0,INT($B544)&lt;=PlanDate+ROUNDUP(IF(ISNUMBER(SpikeHorizon),SpikeHorizon,INDEX(Buffers!$D:$D,MATCH($H544,Buffers!$AE:$AE,0))),0),$E544&gt;=SpikePct*INDEX(Buffers!$P:$P,MATCH($H544,Buffers!$AE:$AE,0))),"Spike","Not qualified"))))))</f>
        <v/>
      </c>
      <c r="G544" s="8" t="str">
        <f aca="false">IF($A544="","",IF(OR($F544="Past due",$F544="Due today",$F544="Spike"),$C544,0))</f>
        <v/>
      </c>
      <c r="H544" s="8" t="str">
        <f aca="false">IF($A544="","",SUBSTITUTE(SUBSTITUTE(SUBSTITUTE($A544&amp;"","~","~~"),"*","~*"),"?","~?"))</f>
        <v/>
      </c>
    </row>
    <row r="545" customFormat="false" ht="15" hidden="false" customHeight="false" outlineLevel="0" collapsed="false">
      <c r="A545" s="11"/>
      <c r="B545" s="6"/>
      <c r="C545" s="11"/>
      <c r="D545" s="11"/>
      <c r="E545" s="8" t="str">
        <f aca="false">IF($A545="","",SUMIFS($C:$C,$A:$A,$H545,$B:$B,"&gt;="&amp;INT($B545),$B:$B,"&lt;"&amp;(INT($B545)+1)))</f>
        <v/>
      </c>
      <c r="F545" s="19" t="str">
        <f aca="false">IF($A545="","",IF(ISNA(MATCH($H545,Buffers!$AE:$AE,0)),"Not on Buffers",IF(NOT(ISNUMBER($B545)),"Needs a date",IF(INT($B545)&lt;PlanDate,"Past due",IF(INT($B545)=PlanDate,"Due today",IF(AND(INDEX(Buffers!$L:$L,MATCH($H545,Buffers!$AE:$AE,0))="Planned",$E545&gt;0,INT($B545)&lt;=PlanDate+ROUNDUP(IF(ISNUMBER(SpikeHorizon),SpikeHorizon,INDEX(Buffers!$D:$D,MATCH($H545,Buffers!$AE:$AE,0))),0),$E545&gt;=SpikePct*INDEX(Buffers!$P:$P,MATCH($H545,Buffers!$AE:$AE,0))),"Spike","Not qualified"))))))</f>
        <v/>
      </c>
      <c r="G545" s="8" t="str">
        <f aca="false">IF($A545="","",IF(OR($F545="Past due",$F545="Due today",$F545="Spike"),$C545,0))</f>
        <v/>
      </c>
      <c r="H545" s="8" t="str">
        <f aca="false">IF($A545="","",SUBSTITUTE(SUBSTITUTE(SUBSTITUTE($A545&amp;"","~","~~"),"*","~*"),"?","~?"))</f>
        <v/>
      </c>
    </row>
    <row r="546" customFormat="false" ht="15" hidden="false" customHeight="false" outlineLevel="0" collapsed="false">
      <c r="A546" s="11"/>
      <c r="B546" s="6"/>
      <c r="C546" s="11"/>
      <c r="D546" s="11"/>
      <c r="E546" s="8" t="str">
        <f aca="false">IF($A546="","",SUMIFS($C:$C,$A:$A,$H546,$B:$B,"&gt;="&amp;INT($B546),$B:$B,"&lt;"&amp;(INT($B546)+1)))</f>
        <v/>
      </c>
      <c r="F546" s="19" t="str">
        <f aca="false">IF($A546="","",IF(ISNA(MATCH($H546,Buffers!$AE:$AE,0)),"Not on Buffers",IF(NOT(ISNUMBER($B546)),"Needs a date",IF(INT($B546)&lt;PlanDate,"Past due",IF(INT($B546)=PlanDate,"Due today",IF(AND(INDEX(Buffers!$L:$L,MATCH($H546,Buffers!$AE:$AE,0))="Planned",$E546&gt;0,INT($B546)&lt;=PlanDate+ROUNDUP(IF(ISNUMBER(SpikeHorizon),SpikeHorizon,INDEX(Buffers!$D:$D,MATCH($H546,Buffers!$AE:$AE,0))),0),$E546&gt;=SpikePct*INDEX(Buffers!$P:$P,MATCH($H546,Buffers!$AE:$AE,0))),"Spike","Not qualified"))))))</f>
        <v/>
      </c>
      <c r="G546" s="8" t="str">
        <f aca="false">IF($A546="","",IF(OR($F546="Past due",$F546="Due today",$F546="Spike"),$C546,0))</f>
        <v/>
      </c>
      <c r="H546" s="8" t="str">
        <f aca="false">IF($A546="","",SUBSTITUTE(SUBSTITUTE(SUBSTITUTE($A546&amp;"","~","~~"),"*","~*"),"?","~?"))</f>
        <v/>
      </c>
    </row>
    <row r="547" customFormat="false" ht="15" hidden="false" customHeight="false" outlineLevel="0" collapsed="false">
      <c r="A547" s="11"/>
      <c r="B547" s="6"/>
      <c r="C547" s="11"/>
      <c r="D547" s="11"/>
      <c r="E547" s="8" t="str">
        <f aca="false">IF($A547="","",SUMIFS($C:$C,$A:$A,$H547,$B:$B,"&gt;="&amp;INT($B547),$B:$B,"&lt;"&amp;(INT($B547)+1)))</f>
        <v/>
      </c>
      <c r="F547" s="19" t="str">
        <f aca="false">IF($A547="","",IF(ISNA(MATCH($H547,Buffers!$AE:$AE,0)),"Not on Buffers",IF(NOT(ISNUMBER($B547)),"Needs a date",IF(INT($B547)&lt;PlanDate,"Past due",IF(INT($B547)=PlanDate,"Due today",IF(AND(INDEX(Buffers!$L:$L,MATCH($H547,Buffers!$AE:$AE,0))="Planned",$E547&gt;0,INT($B547)&lt;=PlanDate+ROUNDUP(IF(ISNUMBER(SpikeHorizon),SpikeHorizon,INDEX(Buffers!$D:$D,MATCH($H547,Buffers!$AE:$AE,0))),0),$E547&gt;=SpikePct*INDEX(Buffers!$P:$P,MATCH($H547,Buffers!$AE:$AE,0))),"Spike","Not qualified"))))))</f>
        <v/>
      </c>
      <c r="G547" s="8" t="str">
        <f aca="false">IF($A547="","",IF(OR($F547="Past due",$F547="Due today",$F547="Spike"),$C547,0))</f>
        <v/>
      </c>
      <c r="H547" s="8" t="str">
        <f aca="false">IF($A547="","",SUBSTITUTE(SUBSTITUTE(SUBSTITUTE($A547&amp;"","~","~~"),"*","~*"),"?","~?"))</f>
        <v/>
      </c>
    </row>
    <row r="548" customFormat="false" ht="15" hidden="false" customHeight="false" outlineLevel="0" collapsed="false">
      <c r="A548" s="11"/>
      <c r="B548" s="6"/>
      <c r="C548" s="11"/>
      <c r="D548" s="11"/>
      <c r="E548" s="8" t="str">
        <f aca="false">IF($A548="","",SUMIFS($C:$C,$A:$A,$H548,$B:$B,"&gt;="&amp;INT($B548),$B:$B,"&lt;"&amp;(INT($B548)+1)))</f>
        <v/>
      </c>
      <c r="F548" s="19" t="str">
        <f aca="false">IF($A548="","",IF(ISNA(MATCH($H548,Buffers!$AE:$AE,0)),"Not on Buffers",IF(NOT(ISNUMBER($B548)),"Needs a date",IF(INT($B548)&lt;PlanDate,"Past due",IF(INT($B548)=PlanDate,"Due today",IF(AND(INDEX(Buffers!$L:$L,MATCH($H548,Buffers!$AE:$AE,0))="Planned",$E548&gt;0,INT($B548)&lt;=PlanDate+ROUNDUP(IF(ISNUMBER(SpikeHorizon),SpikeHorizon,INDEX(Buffers!$D:$D,MATCH($H548,Buffers!$AE:$AE,0))),0),$E548&gt;=SpikePct*INDEX(Buffers!$P:$P,MATCH($H548,Buffers!$AE:$AE,0))),"Spike","Not qualified"))))))</f>
        <v/>
      </c>
      <c r="G548" s="8" t="str">
        <f aca="false">IF($A548="","",IF(OR($F548="Past due",$F548="Due today",$F548="Spike"),$C548,0))</f>
        <v/>
      </c>
      <c r="H548" s="8" t="str">
        <f aca="false">IF($A548="","",SUBSTITUTE(SUBSTITUTE(SUBSTITUTE($A548&amp;"","~","~~"),"*","~*"),"?","~?"))</f>
        <v/>
      </c>
    </row>
    <row r="549" customFormat="false" ht="15" hidden="false" customHeight="false" outlineLevel="0" collapsed="false">
      <c r="A549" s="11"/>
      <c r="B549" s="6"/>
      <c r="C549" s="11"/>
      <c r="D549" s="11"/>
      <c r="E549" s="8" t="str">
        <f aca="false">IF($A549="","",SUMIFS($C:$C,$A:$A,$H549,$B:$B,"&gt;="&amp;INT($B549),$B:$B,"&lt;"&amp;(INT($B549)+1)))</f>
        <v/>
      </c>
      <c r="F549" s="19" t="str">
        <f aca="false">IF($A549="","",IF(ISNA(MATCH($H549,Buffers!$AE:$AE,0)),"Not on Buffers",IF(NOT(ISNUMBER($B549)),"Needs a date",IF(INT($B549)&lt;PlanDate,"Past due",IF(INT($B549)=PlanDate,"Due today",IF(AND(INDEX(Buffers!$L:$L,MATCH($H549,Buffers!$AE:$AE,0))="Planned",$E549&gt;0,INT($B549)&lt;=PlanDate+ROUNDUP(IF(ISNUMBER(SpikeHorizon),SpikeHorizon,INDEX(Buffers!$D:$D,MATCH($H549,Buffers!$AE:$AE,0))),0),$E549&gt;=SpikePct*INDEX(Buffers!$P:$P,MATCH($H549,Buffers!$AE:$AE,0))),"Spike","Not qualified"))))))</f>
        <v/>
      </c>
      <c r="G549" s="8" t="str">
        <f aca="false">IF($A549="","",IF(OR($F549="Past due",$F549="Due today",$F549="Spike"),$C549,0))</f>
        <v/>
      </c>
      <c r="H549" s="8" t="str">
        <f aca="false">IF($A549="","",SUBSTITUTE(SUBSTITUTE(SUBSTITUTE($A549&amp;"","~","~~"),"*","~*"),"?","~?"))</f>
        <v/>
      </c>
    </row>
    <row r="550" customFormat="false" ht="15" hidden="false" customHeight="false" outlineLevel="0" collapsed="false">
      <c r="A550" s="11"/>
      <c r="B550" s="6"/>
      <c r="C550" s="11"/>
      <c r="D550" s="11"/>
      <c r="E550" s="8" t="str">
        <f aca="false">IF($A550="","",SUMIFS($C:$C,$A:$A,$H550,$B:$B,"&gt;="&amp;INT($B550),$B:$B,"&lt;"&amp;(INT($B550)+1)))</f>
        <v/>
      </c>
      <c r="F550" s="19" t="str">
        <f aca="false">IF($A550="","",IF(ISNA(MATCH($H550,Buffers!$AE:$AE,0)),"Not on Buffers",IF(NOT(ISNUMBER($B550)),"Needs a date",IF(INT($B550)&lt;PlanDate,"Past due",IF(INT($B550)=PlanDate,"Due today",IF(AND(INDEX(Buffers!$L:$L,MATCH($H550,Buffers!$AE:$AE,0))="Planned",$E550&gt;0,INT($B550)&lt;=PlanDate+ROUNDUP(IF(ISNUMBER(SpikeHorizon),SpikeHorizon,INDEX(Buffers!$D:$D,MATCH($H550,Buffers!$AE:$AE,0))),0),$E550&gt;=SpikePct*INDEX(Buffers!$P:$P,MATCH($H550,Buffers!$AE:$AE,0))),"Spike","Not qualified"))))))</f>
        <v/>
      </c>
      <c r="G550" s="8" t="str">
        <f aca="false">IF($A550="","",IF(OR($F550="Past due",$F550="Due today",$F550="Spike"),$C550,0))</f>
        <v/>
      </c>
      <c r="H550" s="8" t="str">
        <f aca="false">IF($A550="","",SUBSTITUTE(SUBSTITUTE(SUBSTITUTE($A550&amp;"","~","~~"),"*","~*"),"?","~?"))</f>
        <v/>
      </c>
    </row>
    <row r="551" customFormat="false" ht="15" hidden="false" customHeight="false" outlineLevel="0" collapsed="false">
      <c r="A551" s="11"/>
      <c r="B551" s="6"/>
      <c r="C551" s="11"/>
      <c r="D551" s="11"/>
      <c r="E551" s="8" t="str">
        <f aca="false">IF($A551="","",SUMIFS($C:$C,$A:$A,$H551,$B:$B,"&gt;="&amp;INT($B551),$B:$B,"&lt;"&amp;(INT($B551)+1)))</f>
        <v/>
      </c>
      <c r="F551" s="19" t="str">
        <f aca="false">IF($A551="","",IF(ISNA(MATCH($H551,Buffers!$AE:$AE,0)),"Not on Buffers",IF(NOT(ISNUMBER($B551)),"Needs a date",IF(INT($B551)&lt;PlanDate,"Past due",IF(INT($B551)=PlanDate,"Due today",IF(AND(INDEX(Buffers!$L:$L,MATCH($H551,Buffers!$AE:$AE,0))="Planned",$E551&gt;0,INT($B551)&lt;=PlanDate+ROUNDUP(IF(ISNUMBER(SpikeHorizon),SpikeHorizon,INDEX(Buffers!$D:$D,MATCH($H551,Buffers!$AE:$AE,0))),0),$E551&gt;=SpikePct*INDEX(Buffers!$P:$P,MATCH($H551,Buffers!$AE:$AE,0))),"Spike","Not qualified"))))))</f>
        <v/>
      </c>
      <c r="G551" s="8" t="str">
        <f aca="false">IF($A551="","",IF(OR($F551="Past due",$F551="Due today",$F551="Spike"),$C551,0))</f>
        <v/>
      </c>
      <c r="H551" s="8" t="str">
        <f aca="false">IF($A551="","",SUBSTITUTE(SUBSTITUTE(SUBSTITUTE($A551&amp;"","~","~~"),"*","~*"),"?","~?"))</f>
        <v/>
      </c>
    </row>
    <row r="552" customFormat="false" ht="15" hidden="false" customHeight="false" outlineLevel="0" collapsed="false">
      <c r="A552" s="11"/>
      <c r="B552" s="6"/>
      <c r="C552" s="11"/>
      <c r="D552" s="11"/>
      <c r="E552" s="8" t="str">
        <f aca="false">IF($A552="","",SUMIFS($C:$C,$A:$A,$H552,$B:$B,"&gt;="&amp;INT($B552),$B:$B,"&lt;"&amp;(INT($B552)+1)))</f>
        <v/>
      </c>
      <c r="F552" s="19" t="str">
        <f aca="false">IF($A552="","",IF(ISNA(MATCH($H552,Buffers!$AE:$AE,0)),"Not on Buffers",IF(NOT(ISNUMBER($B552)),"Needs a date",IF(INT($B552)&lt;PlanDate,"Past due",IF(INT($B552)=PlanDate,"Due today",IF(AND(INDEX(Buffers!$L:$L,MATCH($H552,Buffers!$AE:$AE,0))="Planned",$E552&gt;0,INT($B552)&lt;=PlanDate+ROUNDUP(IF(ISNUMBER(SpikeHorizon),SpikeHorizon,INDEX(Buffers!$D:$D,MATCH($H552,Buffers!$AE:$AE,0))),0),$E552&gt;=SpikePct*INDEX(Buffers!$P:$P,MATCH($H552,Buffers!$AE:$AE,0))),"Spike","Not qualified"))))))</f>
        <v/>
      </c>
      <c r="G552" s="8" t="str">
        <f aca="false">IF($A552="","",IF(OR($F552="Past due",$F552="Due today",$F552="Spike"),$C552,0))</f>
        <v/>
      </c>
      <c r="H552" s="8" t="str">
        <f aca="false">IF($A552="","",SUBSTITUTE(SUBSTITUTE(SUBSTITUTE($A552&amp;"","~","~~"),"*","~*"),"?","~?"))</f>
        <v/>
      </c>
    </row>
    <row r="553" customFormat="false" ht="15" hidden="false" customHeight="false" outlineLevel="0" collapsed="false">
      <c r="A553" s="11"/>
      <c r="B553" s="6"/>
      <c r="C553" s="11"/>
      <c r="D553" s="11"/>
      <c r="E553" s="8" t="str">
        <f aca="false">IF($A553="","",SUMIFS($C:$C,$A:$A,$H553,$B:$B,"&gt;="&amp;INT($B553),$B:$B,"&lt;"&amp;(INT($B553)+1)))</f>
        <v/>
      </c>
      <c r="F553" s="19" t="str">
        <f aca="false">IF($A553="","",IF(ISNA(MATCH($H553,Buffers!$AE:$AE,0)),"Not on Buffers",IF(NOT(ISNUMBER($B553)),"Needs a date",IF(INT($B553)&lt;PlanDate,"Past due",IF(INT($B553)=PlanDate,"Due today",IF(AND(INDEX(Buffers!$L:$L,MATCH($H553,Buffers!$AE:$AE,0))="Planned",$E553&gt;0,INT($B553)&lt;=PlanDate+ROUNDUP(IF(ISNUMBER(SpikeHorizon),SpikeHorizon,INDEX(Buffers!$D:$D,MATCH($H553,Buffers!$AE:$AE,0))),0),$E553&gt;=SpikePct*INDEX(Buffers!$P:$P,MATCH($H553,Buffers!$AE:$AE,0))),"Spike","Not qualified"))))))</f>
        <v/>
      </c>
      <c r="G553" s="8" t="str">
        <f aca="false">IF($A553="","",IF(OR($F553="Past due",$F553="Due today",$F553="Spike"),$C553,0))</f>
        <v/>
      </c>
      <c r="H553" s="8" t="str">
        <f aca="false">IF($A553="","",SUBSTITUTE(SUBSTITUTE(SUBSTITUTE($A553&amp;"","~","~~"),"*","~*"),"?","~?"))</f>
        <v/>
      </c>
    </row>
    <row r="554" customFormat="false" ht="15" hidden="false" customHeight="false" outlineLevel="0" collapsed="false">
      <c r="A554" s="11"/>
      <c r="B554" s="6"/>
      <c r="C554" s="11"/>
      <c r="D554" s="11"/>
      <c r="E554" s="8" t="str">
        <f aca="false">IF($A554="","",SUMIFS($C:$C,$A:$A,$H554,$B:$B,"&gt;="&amp;INT($B554),$B:$B,"&lt;"&amp;(INT($B554)+1)))</f>
        <v/>
      </c>
      <c r="F554" s="19" t="str">
        <f aca="false">IF($A554="","",IF(ISNA(MATCH($H554,Buffers!$AE:$AE,0)),"Not on Buffers",IF(NOT(ISNUMBER($B554)),"Needs a date",IF(INT($B554)&lt;PlanDate,"Past due",IF(INT($B554)=PlanDate,"Due today",IF(AND(INDEX(Buffers!$L:$L,MATCH($H554,Buffers!$AE:$AE,0))="Planned",$E554&gt;0,INT($B554)&lt;=PlanDate+ROUNDUP(IF(ISNUMBER(SpikeHorizon),SpikeHorizon,INDEX(Buffers!$D:$D,MATCH($H554,Buffers!$AE:$AE,0))),0),$E554&gt;=SpikePct*INDEX(Buffers!$P:$P,MATCH($H554,Buffers!$AE:$AE,0))),"Spike","Not qualified"))))))</f>
        <v/>
      </c>
      <c r="G554" s="8" t="str">
        <f aca="false">IF($A554="","",IF(OR($F554="Past due",$F554="Due today",$F554="Spike"),$C554,0))</f>
        <v/>
      </c>
      <c r="H554" s="8" t="str">
        <f aca="false">IF($A554="","",SUBSTITUTE(SUBSTITUTE(SUBSTITUTE($A554&amp;"","~","~~"),"*","~*"),"?","~?"))</f>
        <v/>
      </c>
    </row>
    <row r="555" customFormat="false" ht="15" hidden="false" customHeight="false" outlineLevel="0" collapsed="false">
      <c r="A555" s="11"/>
      <c r="B555" s="6"/>
      <c r="C555" s="11"/>
      <c r="D555" s="11"/>
      <c r="E555" s="8" t="str">
        <f aca="false">IF($A555="","",SUMIFS($C:$C,$A:$A,$H555,$B:$B,"&gt;="&amp;INT($B555),$B:$B,"&lt;"&amp;(INT($B555)+1)))</f>
        <v/>
      </c>
      <c r="F555" s="19" t="str">
        <f aca="false">IF($A555="","",IF(ISNA(MATCH($H555,Buffers!$AE:$AE,0)),"Not on Buffers",IF(NOT(ISNUMBER($B555)),"Needs a date",IF(INT($B555)&lt;PlanDate,"Past due",IF(INT($B555)=PlanDate,"Due today",IF(AND(INDEX(Buffers!$L:$L,MATCH($H555,Buffers!$AE:$AE,0))="Planned",$E555&gt;0,INT($B555)&lt;=PlanDate+ROUNDUP(IF(ISNUMBER(SpikeHorizon),SpikeHorizon,INDEX(Buffers!$D:$D,MATCH($H555,Buffers!$AE:$AE,0))),0),$E555&gt;=SpikePct*INDEX(Buffers!$P:$P,MATCH($H555,Buffers!$AE:$AE,0))),"Spike","Not qualified"))))))</f>
        <v/>
      </c>
      <c r="G555" s="8" t="str">
        <f aca="false">IF($A555="","",IF(OR($F555="Past due",$F555="Due today",$F555="Spike"),$C555,0))</f>
        <v/>
      </c>
      <c r="H555" s="8" t="str">
        <f aca="false">IF($A555="","",SUBSTITUTE(SUBSTITUTE(SUBSTITUTE($A555&amp;"","~","~~"),"*","~*"),"?","~?"))</f>
        <v/>
      </c>
    </row>
    <row r="556" customFormat="false" ht="15" hidden="false" customHeight="false" outlineLevel="0" collapsed="false">
      <c r="A556" s="11"/>
      <c r="B556" s="6"/>
      <c r="C556" s="11"/>
      <c r="D556" s="11"/>
      <c r="E556" s="8" t="str">
        <f aca="false">IF($A556="","",SUMIFS($C:$C,$A:$A,$H556,$B:$B,"&gt;="&amp;INT($B556),$B:$B,"&lt;"&amp;(INT($B556)+1)))</f>
        <v/>
      </c>
      <c r="F556" s="19" t="str">
        <f aca="false">IF($A556="","",IF(ISNA(MATCH($H556,Buffers!$AE:$AE,0)),"Not on Buffers",IF(NOT(ISNUMBER($B556)),"Needs a date",IF(INT($B556)&lt;PlanDate,"Past due",IF(INT($B556)=PlanDate,"Due today",IF(AND(INDEX(Buffers!$L:$L,MATCH($H556,Buffers!$AE:$AE,0))="Planned",$E556&gt;0,INT($B556)&lt;=PlanDate+ROUNDUP(IF(ISNUMBER(SpikeHorizon),SpikeHorizon,INDEX(Buffers!$D:$D,MATCH($H556,Buffers!$AE:$AE,0))),0),$E556&gt;=SpikePct*INDEX(Buffers!$P:$P,MATCH($H556,Buffers!$AE:$AE,0))),"Spike","Not qualified"))))))</f>
        <v/>
      </c>
      <c r="G556" s="8" t="str">
        <f aca="false">IF($A556="","",IF(OR($F556="Past due",$F556="Due today",$F556="Spike"),$C556,0))</f>
        <v/>
      </c>
      <c r="H556" s="8" t="str">
        <f aca="false">IF($A556="","",SUBSTITUTE(SUBSTITUTE(SUBSTITUTE($A556&amp;"","~","~~"),"*","~*"),"?","~?"))</f>
        <v/>
      </c>
    </row>
    <row r="557" customFormat="false" ht="15" hidden="false" customHeight="false" outlineLevel="0" collapsed="false">
      <c r="A557" s="11"/>
      <c r="B557" s="6"/>
      <c r="C557" s="11"/>
      <c r="D557" s="11"/>
      <c r="E557" s="8" t="str">
        <f aca="false">IF($A557="","",SUMIFS($C:$C,$A:$A,$H557,$B:$B,"&gt;="&amp;INT($B557),$B:$B,"&lt;"&amp;(INT($B557)+1)))</f>
        <v/>
      </c>
      <c r="F557" s="19" t="str">
        <f aca="false">IF($A557="","",IF(ISNA(MATCH($H557,Buffers!$AE:$AE,0)),"Not on Buffers",IF(NOT(ISNUMBER($B557)),"Needs a date",IF(INT($B557)&lt;PlanDate,"Past due",IF(INT($B557)=PlanDate,"Due today",IF(AND(INDEX(Buffers!$L:$L,MATCH($H557,Buffers!$AE:$AE,0))="Planned",$E557&gt;0,INT($B557)&lt;=PlanDate+ROUNDUP(IF(ISNUMBER(SpikeHorizon),SpikeHorizon,INDEX(Buffers!$D:$D,MATCH($H557,Buffers!$AE:$AE,0))),0),$E557&gt;=SpikePct*INDEX(Buffers!$P:$P,MATCH($H557,Buffers!$AE:$AE,0))),"Spike","Not qualified"))))))</f>
        <v/>
      </c>
      <c r="G557" s="8" t="str">
        <f aca="false">IF($A557="","",IF(OR($F557="Past due",$F557="Due today",$F557="Spike"),$C557,0))</f>
        <v/>
      </c>
      <c r="H557" s="8" t="str">
        <f aca="false">IF($A557="","",SUBSTITUTE(SUBSTITUTE(SUBSTITUTE($A557&amp;"","~","~~"),"*","~*"),"?","~?"))</f>
        <v/>
      </c>
    </row>
    <row r="558" customFormat="false" ht="15" hidden="false" customHeight="false" outlineLevel="0" collapsed="false">
      <c r="A558" s="11"/>
      <c r="B558" s="6"/>
      <c r="C558" s="11"/>
      <c r="D558" s="11"/>
      <c r="E558" s="8" t="str">
        <f aca="false">IF($A558="","",SUMIFS($C:$C,$A:$A,$H558,$B:$B,"&gt;="&amp;INT($B558),$B:$B,"&lt;"&amp;(INT($B558)+1)))</f>
        <v/>
      </c>
      <c r="F558" s="19" t="str">
        <f aca="false">IF($A558="","",IF(ISNA(MATCH($H558,Buffers!$AE:$AE,0)),"Not on Buffers",IF(NOT(ISNUMBER($B558)),"Needs a date",IF(INT($B558)&lt;PlanDate,"Past due",IF(INT($B558)=PlanDate,"Due today",IF(AND(INDEX(Buffers!$L:$L,MATCH($H558,Buffers!$AE:$AE,0))="Planned",$E558&gt;0,INT($B558)&lt;=PlanDate+ROUNDUP(IF(ISNUMBER(SpikeHorizon),SpikeHorizon,INDEX(Buffers!$D:$D,MATCH($H558,Buffers!$AE:$AE,0))),0),$E558&gt;=SpikePct*INDEX(Buffers!$P:$P,MATCH($H558,Buffers!$AE:$AE,0))),"Spike","Not qualified"))))))</f>
        <v/>
      </c>
      <c r="G558" s="8" t="str">
        <f aca="false">IF($A558="","",IF(OR($F558="Past due",$F558="Due today",$F558="Spike"),$C558,0))</f>
        <v/>
      </c>
      <c r="H558" s="8" t="str">
        <f aca="false">IF($A558="","",SUBSTITUTE(SUBSTITUTE(SUBSTITUTE($A558&amp;"","~","~~"),"*","~*"),"?","~?"))</f>
        <v/>
      </c>
    </row>
    <row r="559" customFormat="false" ht="15" hidden="false" customHeight="false" outlineLevel="0" collapsed="false">
      <c r="A559" s="11"/>
      <c r="B559" s="6"/>
      <c r="C559" s="11"/>
      <c r="D559" s="11"/>
      <c r="E559" s="8" t="str">
        <f aca="false">IF($A559="","",SUMIFS($C:$C,$A:$A,$H559,$B:$B,"&gt;="&amp;INT($B559),$B:$B,"&lt;"&amp;(INT($B559)+1)))</f>
        <v/>
      </c>
      <c r="F559" s="19" t="str">
        <f aca="false">IF($A559="","",IF(ISNA(MATCH($H559,Buffers!$AE:$AE,0)),"Not on Buffers",IF(NOT(ISNUMBER($B559)),"Needs a date",IF(INT($B559)&lt;PlanDate,"Past due",IF(INT($B559)=PlanDate,"Due today",IF(AND(INDEX(Buffers!$L:$L,MATCH($H559,Buffers!$AE:$AE,0))="Planned",$E559&gt;0,INT($B559)&lt;=PlanDate+ROUNDUP(IF(ISNUMBER(SpikeHorizon),SpikeHorizon,INDEX(Buffers!$D:$D,MATCH($H559,Buffers!$AE:$AE,0))),0),$E559&gt;=SpikePct*INDEX(Buffers!$P:$P,MATCH($H559,Buffers!$AE:$AE,0))),"Spike","Not qualified"))))))</f>
        <v/>
      </c>
      <c r="G559" s="8" t="str">
        <f aca="false">IF($A559="","",IF(OR($F559="Past due",$F559="Due today",$F559="Spike"),$C559,0))</f>
        <v/>
      </c>
      <c r="H559" s="8" t="str">
        <f aca="false">IF($A559="","",SUBSTITUTE(SUBSTITUTE(SUBSTITUTE($A559&amp;"","~","~~"),"*","~*"),"?","~?"))</f>
        <v/>
      </c>
    </row>
    <row r="560" customFormat="false" ht="15" hidden="false" customHeight="false" outlineLevel="0" collapsed="false">
      <c r="A560" s="11"/>
      <c r="B560" s="6"/>
      <c r="C560" s="11"/>
      <c r="D560" s="11"/>
      <c r="E560" s="8" t="str">
        <f aca="false">IF($A560="","",SUMIFS($C:$C,$A:$A,$H560,$B:$B,"&gt;="&amp;INT($B560),$B:$B,"&lt;"&amp;(INT($B560)+1)))</f>
        <v/>
      </c>
      <c r="F560" s="19" t="str">
        <f aca="false">IF($A560="","",IF(ISNA(MATCH($H560,Buffers!$AE:$AE,0)),"Not on Buffers",IF(NOT(ISNUMBER($B560)),"Needs a date",IF(INT($B560)&lt;PlanDate,"Past due",IF(INT($B560)=PlanDate,"Due today",IF(AND(INDEX(Buffers!$L:$L,MATCH($H560,Buffers!$AE:$AE,0))="Planned",$E560&gt;0,INT($B560)&lt;=PlanDate+ROUNDUP(IF(ISNUMBER(SpikeHorizon),SpikeHorizon,INDEX(Buffers!$D:$D,MATCH($H560,Buffers!$AE:$AE,0))),0),$E560&gt;=SpikePct*INDEX(Buffers!$P:$P,MATCH($H560,Buffers!$AE:$AE,0))),"Spike","Not qualified"))))))</f>
        <v/>
      </c>
      <c r="G560" s="8" t="str">
        <f aca="false">IF($A560="","",IF(OR($F560="Past due",$F560="Due today",$F560="Spike"),$C560,0))</f>
        <v/>
      </c>
      <c r="H560" s="8" t="str">
        <f aca="false">IF($A560="","",SUBSTITUTE(SUBSTITUTE(SUBSTITUTE($A560&amp;"","~","~~"),"*","~*"),"?","~?"))</f>
        <v/>
      </c>
    </row>
    <row r="561" customFormat="false" ht="15" hidden="false" customHeight="false" outlineLevel="0" collapsed="false">
      <c r="A561" s="11"/>
      <c r="B561" s="6"/>
      <c r="C561" s="11"/>
      <c r="D561" s="11"/>
      <c r="E561" s="8" t="str">
        <f aca="false">IF($A561="","",SUMIFS($C:$C,$A:$A,$H561,$B:$B,"&gt;="&amp;INT($B561),$B:$B,"&lt;"&amp;(INT($B561)+1)))</f>
        <v/>
      </c>
      <c r="F561" s="19" t="str">
        <f aca="false">IF($A561="","",IF(ISNA(MATCH($H561,Buffers!$AE:$AE,0)),"Not on Buffers",IF(NOT(ISNUMBER($B561)),"Needs a date",IF(INT($B561)&lt;PlanDate,"Past due",IF(INT($B561)=PlanDate,"Due today",IF(AND(INDEX(Buffers!$L:$L,MATCH($H561,Buffers!$AE:$AE,0))="Planned",$E561&gt;0,INT($B561)&lt;=PlanDate+ROUNDUP(IF(ISNUMBER(SpikeHorizon),SpikeHorizon,INDEX(Buffers!$D:$D,MATCH($H561,Buffers!$AE:$AE,0))),0),$E561&gt;=SpikePct*INDEX(Buffers!$P:$P,MATCH($H561,Buffers!$AE:$AE,0))),"Spike","Not qualified"))))))</f>
        <v/>
      </c>
      <c r="G561" s="8" t="str">
        <f aca="false">IF($A561="","",IF(OR($F561="Past due",$F561="Due today",$F561="Spike"),$C561,0))</f>
        <v/>
      </c>
      <c r="H561" s="8" t="str">
        <f aca="false">IF($A561="","",SUBSTITUTE(SUBSTITUTE(SUBSTITUTE($A561&amp;"","~","~~"),"*","~*"),"?","~?"))</f>
        <v/>
      </c>
    </row>
    <row r="562" customFormat="false" ht="15" hidden="false" customHeight="false" outlineLevel="0" collapsed="false">
      <c r="A562" s="11"/>
      <c r="B562" s="6"/>
      <c r="C562" s="11"/>
      <c r="D562" s="11"/>
      <c r="E562" s="8" t="str">
        <f aca="false">IF($A562="","",SUMIFS($C:$C,$A:$A,$H562,$B:$B,"&gt;="&amp;INT($B562),$B:$B,"&lt;"&amp;(INT($B562)+1)))</f>
        <v/>
      </c>
      <c r="F562" s="19" t="str">
        <f aca="false">IF($A562="","",IF(ISNA(MATCH($H562,Buffers!$AE:$AE,0)),"Not on Buffers",IF(NOT(ISNUMBER($B562)),"Needs a date",IF(INT($B562)&lt;PlanDate,"Past due",IF(INT($B562)=PlanDate,"Due today",IF(AND(INDEX(Buffers!$L:$L,MATCH($H562,Buffers!$AE:$AE,0))="Planned",$E562&gt;0,INT($B562)&lt;=PlanDate+ROUNDUP(IF(ISNUMBER(SpikeHorizon),SpikeHorizon,INDEX(Buffers!$D:$D,MATCH($H562,Buffers!$AE:$AE,0))),0),$E562&gt;=SpikePct*INDEX(Buffers!$P:$P,MATCH($H562,Buffers!$AE:$AE,0))),"Spike","Not qualified"))))))</f>
        <v/>
      </c>
      <c r="G562" s="8" t="str">
        <f aca="false">IF($A562="","",IF(OR($F562="Past due",$F562="Due today",$F562="Spike"),$C562,0))</f>
        <v/>
      </c>
      <c r="H562" s="8" t="str">
        <f aca="false">IF($A562="","",SUBSTITUTE(SUBSTITUTE(SUBSTITUTE($A562&amp;"","~","~~"),"*","~*"),"?","~?"))</f>
        <v/>
      </c>
    </row>
    <row r="563" customFormat="false" ht="15" hidden="false" customHeight="false" outlineLevel="0" collapsed="false">
      <c r="A563" s="11"/>
      <c r="B563" s="6"/>
      <c r="C563" s="11"/>
      <c r="D563" s="11"/>
      <c r="E563" s="8" t="str">
        <f aca="false">IF($A563="","",SUMIFS($C:$C,$A:$A,$H563,$B:$B,"&gt;="&amp;INT($B563),$B:$B,"&lt;"&amp;(INT($B563)+1)))</f>
        <v/>
      </c>
      <c r="F563" s="19" t="str">
        <f aca="false">IF($A563="","",IF(ISNA(MATCH($H563,Buffers!$AE:$AE,0)),"Not on Buffers",IF(NOT(ISNUMBER($B563)),"Needs a date",IF(INT($B563)&lt;PlanDate,"Past due",IF(INT($B563)=PlanDate,"Due today",IF(AND(INDEX(Buffers!$L:$L,MATCH($H563,Buffers!$AE:$AE,0))="Planned",$E563&gt;0,INT($B563)&lt;=PlanDate+ROUNDUP(IF(ISNUMBER(SpikeHorizon),SpikeHorizon,INDEX(Buffers!$D:$D,MATCH($H563,Buffers!$AE:$AE,0))),0),$E563&gt;=SpikePct*INDEX(Buffers!$P:$P,MATCH($H563,Buffers!$AE:$AE,0))),"Spike","Not qualified"))))))</f>
        <v/>
      </c>
      <c r="G563" s="8" t="str">
        <f aca="false">IF($A563="","",IF(OR($F563="Past due",$F563="Due today",$F563="Spike"),$C563,0))</f>
        <v/>
      </c>
      <c r="H563" s="8" t="str">
        <f aca="false">IF($A563="","",SUBSTITUTE(SUBSTITUTE(SUBSTITUTE($A563&amp;"","~","~~"),"*","~*"),"?","~?"))</f>
        <v/>
      </c>
    </row>
    <row r="564" customFormat="false" ht="15" hidden="false" customHeight="false" outlineLevel="0" collapsed="false">
      <c r="A564" s="11"/>
      <c r="B564" s="6"/>
      <c r="C564" s="11"/>
      <c r="D564" s="11"/>
      <c r="E564" s="8" t="str">
        <f aca="false">IF($A564="","",SUMIFS($C:$C,$A:$A,$H564,$B:$B,"&gt;="&amp;INT($B564),$B:$B,"&lt;"&amp;(INT($B564)+1)))</f>
        <v/>
      </c>
      <c r="F564" s="19" t="str">
        <f aca="false">IF($A564="","",IF(ISNA(MATCH($H564,Buffers!$AE:$AE,0)),"Not on Buffers",IF(NOT(ISNUMBER($B564)),"Needs a date",IF(INT($B564)&lt;PlanDate,"Past due",IF(INT($B564)=PlanDate,"Due today",IF(AND(INDEX(Buffers!$L:$L,MATCH($H564,Buffers!$AE:$AE,0))="Planned",$E564&gt;0,INT($B564)&lt;=PlanDate+ROUNDUP(IF(ISNUMBER(SpikeHorizon),SpikeHorizon,INDEX(Buffers!$D:$D,MATCH($H564,Buffers!$AE:$AE,0))),0),$E564&gt;=SpikePct*INDEX(Buffers!$P:$P,MATCH($H564,Buffers!$AE:$AE,0))),"Spike","Not qualified"))))))</f>
        <v/>
      </c>
      <c r="G564" s="8" t="str">
        <f aca="false">IF($A564="","",IF(OR($F564="Past due",$F564="Due today",$F564="Spike"),$C564,0))</f>
        <v/>
      </c>
      <c r="H564" s="8" t="str">
        <f aca="false">IF($A564="","",SUBSTITUTE(SUBSTITUTE(SUBSTITUTE($A564&amp;"","~","~~"),"*","~*"),"?","~?"))</f>
        <v/>
      </c>
    </row>
    <row r="565" customFormat="false" ht="15" hidden="false" customHeight="false" outlineLevel="0" collapsed="false">
      <c r="A565" s="11"/>
      <c r="B565" s="6"/>
      <c r="C565" s="11"/>
      <c r="D565" s="11"/>
      <c r="E565" s="8" t="str">
        <f aca="false">IF($A565="","",SUMIFS($C:$C,$A:$A,$H565,$B:$B,"&gt;="&amp;INT($B565),$B:$B,"&lt;"&amp;(INT($B565)+1)))</f>
        <v/>
      </c>
      <c r="F565" s="19" t="str">
        <f aca="false">IF($A565="","",IF(ISNA(MATCH($H565,Buffers!$AE:$AE,0)),"Not on Buffers",IF(NOT(ISNUMBER($B565)),"Needs a date",IF(INT($B565)&lt;PlanDate,"Past due",IF(INT($B565)=PlanDate,"Due today",IF(AND(INDEX(Buffers!$L:$L,MATCH($H565,Buffers!$AE:$AE,0))="Planned",$E565&gt;0,INT($B565)&lt;=PlanDate+ROUNDUP(IF(ISNUMBER(SpikeHorizon),SpikeHorizon,INDEX(Buffers!$D:$D,MATCH($H565,Buffers!$AE:$AE,0))),0),$E565&gt;=SpikePct*INDEX(Buffers!$P:$P,MATCH($H565,Buffers!$AE:$AE,0))),"Spike","Not qualified"))))))</f>
        <v/>
      </c>
      <c r="G565" s="8" t="str">
        <f aca="false">IF($A565="","",IF(OR($F565="Past due",$F565="Due today",$F565="Spike"),$C565,0))</f>
        <v/>
      </c>
      <c r="H565" s="8" t="str">
        <f aca="false">IF($A565="","",SUBSTITUTE(SUBSTITUTE(SUBSTITUTE($A565&amp;"","~","~~"),"*","~*"),"?","~?"))</f>
        <v/>
      </c>
    </row>
    <row r="566" customFormat="false" ht="15" hidden="false" customHeight="false" outlineLevel="0" collapsed="false">
      <c r="A566" s="11"/>
      <c r="B566" s="6"/>
      <c r="C566" s="11"/>
      <c r="D566" s="11"/>
      <c r="E566" s="8" t="str">
        <f aca="false">IF($A566="","",SUMIFS($C:$C,$A:$A,$H566,$B:$B,"&gt;="&amp;INT($B566),$B:$B,"&lt;"&amp;(INT($B566)+1)))</f>
        <v/>
      </c>
      <c r="F566" s="19" t="str">
        <f aca="false">IF($A566="","",IF(ISNA(MATCH($H566,Buffers!$AE:$AE,0)),"Not on Buffers",IF(NOT(ISNUMBER($B566)),"Needs a date",IF(INT($B566)&lt;PlanDate,"Past due",IF(INT($B566)=PlanDate,"Due today",IF(AND(INDEX(Buffers!$L:$L,MATCH($H566,Buffers!$AE:$AE,0))="Planned",$E566&gt;0,INT($B566)&lt;=PlanDate+ROUNDUP(IF(ISNUMBER(SpikeHorizon),SpikeHorizon,INDEX(Buffers!$D:$D,MATCH($H566,Buffers!$AE:$AE,0))),0),$E566&gt;=SpikePct*INDEX(Buffers!$P:$P,MATCH($H566,Buffers!$AE:$AE,0))),"Spike","Not qualified"))))))</f>
        <v/>
      </c>
      <c r="G566" s="8" t="str">
        <f aca="false">IF($A566="","",IF(OR($F566="Past due",$F566="Due today",$F566="Spike"),$C566,0))</f>
        <v/>
      </c>
      <c r="H566" s="8" t="str">
        <f aca="false">IF($A566="","",SUBSTITUTE(SUBSTITUTE(SUBSTITUTE($A566&amp;"","~","~~"),"*","~*"),"?","~?"))</f>
        <v/>
      </c>
    </row>
    <row r="567" customFormat="false" ht="15" hidden="false" customHeight="false" outlineLevel="0" collapsed="false">
      <c r="A567" s="11"/>
      <c r="B567" s="6"/>
      <c r="C567" s="11"/>
      <c r="D567" s="11"/>
      <c r="E567" s="8" t="str">
        <f aca="false">IF($A567="","",SUMIFS($C:$C,$A:$A,$H567,$B:$B,"&gt;="&amp;INT($B567),$B:$B,"&lt;"&amp;(INT($B567)+1)))</f>
        <v/>
      </c>
      <c r="F567" s="19" t="str">
        <f aca="false">IF($A567="","",IF(ISNA(MATCH($H567,Buffers!$AE:$AE,0)),"Not on Buffers",IF(NOT(ISNUMBER($B567)),"Needs a date",IF(INT($B567)&lt;PlanDate,"Past due",IF(INT($B567)=PlanDate,"Due today",IF(AND(INDEX(Buffers!$L:$L,MATCH($H567,Buffers!$AE:$AE,0))="Planned",$E567&gt;0,INT($B567)&lt;=PlanDate+ROUNDUP(IF(ISNUMBER(SpikeHorizon),SpikeHorizon,INDEX(Buffers!$D:$D,MATCH($H567,Buffers!$AE:$AE,0))),0),$E567&gt;=SpikePct*INDEX(Buffers!$P:$P,MATCH($H567,Buffers!$AE:$AE,0))),"Spike","Not qualified"))))))</f>
        <v/>
      </c>
      <c r="G567" s="8" t="str">
        <f aca="false">IF($A567="","",IF(OR($F567="Past due",$F567="Due today",$F567="Spike"),$C567,0))</f>
        <v/>
      </c>
      <c r="H567" s="8" t="str">
        <f aca="false">IF($A567="","",SUBSTITUTE(SUBSTITUTE(SUBSTITUTE($A567&amp;"","~","~~"),"*","~*"),"?","~?"))</f>
        <v/>
      </c>
    </row>
    <row r="568" customFormat="false" ht="15" hidden="false" customHeight="false" outlineLevel="0" collapsed="false">
      <c r="A568" s="11"/>
      <c r="B568" s="6"/>
      <c r="C568" s="11"/>
      <c r="D568" s="11"/>
      <c r="E568" s="8" t="str">
        <f aca="false">IF($A568="","",SUMIFS($C:$C,$A:$A,$H568,$B:$B,"&gt;="&amp;INT($B568),$B:$B,"&lt;"&amp;(INT($B568)+1)))</f>
        <v/>
      </c>
      <c r="F568" s="19" t="str">
        <f aca="false">IF($A568="","",IF(ISNA(MATCH($H568,Buffers!$AE:$AE,0)),"Not on Buffers",IF(NOT(ISNUMBER($B568)),"Needs a date",IF(INT($B568)&lt;PlanDate,"Past due",IF(INT($B568)=PlanDate,"Due today",IF(AND(INDEX(Buffers!$L:$L,MATCH($H568,Buffers!$AE:$AE,0))="Planned",$E568&gt;0,INT($B568)&lt;=PlanDate+ROUNDUP(IF(ISNUMBER(SpikeHorizon),SpikeHorizon,INDEX(Buffers!$D:$D,MATCH($H568,Buffers!$AE:$AE,0))),0),$E568&gt;=SpikePct*INDEX(Buffers!$P:$P,MATCH($H568,Buffers!$AE:$AE,0))),"Spike","Not qualified"))))))</f>
        <v/>
      </c>
      <c r="G568" s="8" t="str">
        <f aca="false">IF($A568="","",IF(OR($F568="Past due",$F568="Due today",$F568="Spike"),$C568,0))</f>
        <v/>
      </c>
      <c r="H568" s="8" t="str">
        <f aca="false">IF($A568="","",SUBSTITUTE(SUBSTITUTE(SUBSTITUTE($A568&amp;"","~","~~"),"*","~*"),"?","~?"))</f>
        <v/>
      </c>
    </row>
    <row r="569" customFormat="false" ht="15" hidden="false" customHeight="false" outlineLevel="0" collapsed="false">
      <c r="A569" s="11"/>
      <c r="B569" s="6"/>
      <c r="C569" s="11"/>
      <c r="D569" s="11"/>
      <c r="E569" s="8" t="str">
        <f aca="false">IF($A569="","",SUMIFS($C:$C,$A:$A,$H569,$B:$B,"&gt;="&amp;INT($B569),$B:$B,"&lt;"&amp;(INT($B569)+1)))</f>
        <v/>
      </c>
      <c r="F569" s="19" t="str">
        <f aca="false">IF($A569="","",IF(ISNA(MATCH($H569,Buffers!$AE:$AE,0)),"Not on Buffers",IF(NOT(ISNUMBER($B569)),"Needs a date",IF(INT($B569)&lt;PlanDate,"Past due",IF(INT($B569)=PlanDate,"Due today",IF(AND(INDEX(Buffers!$L:$L,MATCH($H569,Buffers!$AE:$AE,0))="Planned",$E569&gt;0,INT($B569)&lt;=PlanDate+ROUNDUP(IF(ISNUMBER(SpikeHorizon),SpikeHorizon,INDEX(Buffers!$D:$D,MATCH($H569,Buffers!$AE:$AE,0))),0),$E569&gt;=SpikePct*INDEX(Buffers!$P:$P,MATCH($H569,Buffers!$AE:$AE,0))),"Spike","Not qualified"))))))</f>
        <v/>
      </c>
      <c r="G569" s="8" t="str">
        <f aca="false">IF($A569="","",IF(OR($F569="Past due",$F569="Due today",$F569="Spike"),$C569,0))</f>
        <v/>
      </c>
      <c r="H569" s="8" t="str">
        <f aca="false">IF($A569="","",SUBSTITUTE(SUBSTITUTE(SUBSTITUTE($A569&amp;"","~","~~"),"*","~*"),"?","~?"))</f>
        <v/>
      </c>
    </row>
    <row r="570" customFormat="false" ht="15" hidden="false" customHeight="false" outlineLevel="0" collapsed="false">
      <c r="A570" s="11"/>
      <c r="B570" s="6"/>
      <c r="C570" s="11"/>
      <c r="D570" s="11"/>
      <c r="E570" s="8" t="str">
        <f aca="false">IF($A570="","",SUMIFS($C:$C,$A:$A,$H570,$B:$B,"&gt;="&amp;INT($B570),$B:$B,"&lt;"&amp;(INT($B570)+1)))</f>
        <v/>
      </c>
      <c r="F570" s="19" t="str">
        <f aca="false">IF($A570="","",IF(ISNA(MATCH($H570,Buffers!$AE:$AE,0)),"Not on Buffers",IF(NOT(ISNUMBER($B570)),"Needs a date",IF(INT($B570)&lt;PlanDate,"Past due",IF(INT($B570)=PlanDate,"Due today",IF(AND(INDEX(Buffers!$L:$L,MATCH($H570,Buffers!$AE:$AE,0))="Planned",$E570&gt;0,INT($B570)&lt;=PlanDate+ROUNDUP(IF(ISNUMBER(SpikeHorizon),SpikeHorizon,INDEX(Buffers!$D:$D,MATCH($H570,Buffers!$AE:$AE,0))),0),$E570&gt;=SpikePct*INDEX(Buffers!$P:$P,MATCH($H570,Buffers!$AE:$AE,0))),"Spike","Not qualified"))))))</f>
        <v/>
      </c>
      <c r="G570" s="8" t="str">
        <f aca="false">IF($A570="","",IF(OR($F570="Past due",$F570="Due today",$F570="Spike"),$C570,0))</f>
        <v/>
      </c>
      <c r="H570" s="8" t="str">
        <f aca="false">IF($A570="","",SUBSTITUTE(SUBSTITUTE(SUBSTITUTE($A570&amp;"","~","~~"),"*","~*"),"?","~?"))</f>
        <v/>
      </c>
    </row>
    <row r="571" customFormat="false" ht="15" hidden="false" customHeight="false" outlineLevel="0" collapsed="false">
      <c r="A571" s="11"/>
      <c r="B571" s="6"/>
      <c r="C571" s="11"/>
      <c r="D571" s="11"/>
      <c r="E571" s="8" t="str">
        <f aca="false">IF($A571="","",SUMIFS($C:$C,$A:$A,$H571,$B:$B,"&gt;="&amp;INT($B571),$B:$B,"&lt;"&amp;(INT($B571)+1)))</f>
        <v/>
      </c>
      <c r="F571" s="19" t="str">
        <f aca="false">IF($A571="","",IF(ISNA(MATCH($H571,Buffers!$AE:$AE,0)),"Not on Buffers",IF(NOT(ISNUMBER($B571)),"Needs a date",IF(INT($B571)&lt;PlanDate,"Past due",IF(INT($B571)=PlanDate,"Due today",IF(AND(INDEX(Buffers!$L:$L,MATCH($H571,Buffers!$AE:$AE,0))="Planned",$E571&gt;0,INT($B571)&lt;=PlanDate+ROUNDUP(IF(ISNUMBER(SpikeHorizon),SpikeHorizon,INDEX(Buffers!$D:$D,MATCH($H571,Buffers!$AE:$AE,0))),0),$E571&gt;=SpikePct*INDEX(Buffers!$P:$P,MATCH($H571,Buffers!$AE:$AE,0))),"Spike","Not qualified"))))))</f>
        <v/>
      </c>
      <c r="G571" s="8" t="str">
        <f aca="false">IF($A571="","",IF(OR($F571="Past due",$F571="Due today",$F571="Spike"),$C571,0))</f>
        <v/>
      </c>
      <c r="H571" s="8" t="str">
        <f aca="false">IF($A571="","",SUBSTITUTE(SUBSTITUTE(SUBSTITUTE($A571&amp;"","~","~~"),"*","~*"),"?","~?"))</f>
        <v/>
      </c>
    </row>
    <row r="572" customFormat="false" ht="15" hidden="false" customHeight="false" outlineLevel="0" collapsed="false">
      <c r="A572" s="11"/>
      <c r="B572" s="6"/>
      <c r="C572" s="11"/>
      <c r="D572" s="11"/>
      <c r="E572" s="8" t="str">
        <f aca="false">IF($A572="","",SUMIFS($C:$C,$A:$A,$H572,$B:$B,"&gt;="&amp;INT($B572),$B:$B,"&lt;"&amp;(INT($B572)+1)))</f>
        <v/>
      </c>
      <c r="F572" s="19" t="str">
        <f aca="false">IF($A572="","",IF(ISNA(MATCH($H572,Buffers!$AE:$AE,0)),"Not on Buffers",IF(NOT(ISNUMBER($B572)),"Needs a date",IF(INT($B572)&lt;PlanDate,"Past due",IF(INT($B572)=PlanDate,"Due today",IF(AND(INDEX(Buffers!$L:$L,MATCH($H572,Buffers!$AE:$AE,0))="Planned",$E572&gt;0,INT($B572)&lt;=PlanDate+ROUNDUP(IF(ISNUMBER(SpikeHorizon),SpikeHorizon,INDEX(Buffers!$D:$D,MATCH($H572,Buffers!$AE:$AE,0))),0),$E572&gt;=SpikePct*INDEX(Buffers!$P:$P,MATCH($H572,Buffers!$AE:$AE,0))),"Spike","Not qualified"))))))</f>
        <v/>
      </c>
      <c r="G572" s="8" t="str">
        <f aca="false">IF($A572="","",IF(OR($F572="Past due",$F572="Due today",$F572="Spike"),$C572,0))</f>
        <v/>
      </c>
      <c r="H572" s="8" t="str">
        <f aca="false">IF($A572="","",SUBSTITUTE(SUBSTITUTE(SUBSTITUTE($A572&amp;"","~","~~"),"*","~*"),"?","~?"))</f>
        <v/>
      </c>
    </row>
    <row r="573" customFormat="false" ht="15" hidden="false" customHeight="false" outlineLevel="0" collapsed="false">
      <c r="A573" s="11"/>
      <c r="B573" s="6"/>
      <c r="C573" s="11"/>
      <c r="D573" s="11"/>
      <c r="E573" s="8" t="str">
        <f aca="false">IF($A573="","",SUMIFS($C:$C,$A:$A,$H573,$B:$B,"&gt;="&amp;INT($B573),$B:$B,"&lt;"&amp;(INT($B573)+1)))</f>
        <v/>
      </c>
      <c r="F573" s="19" t="str">
        <f aca="false">IF($A573="","",IF(ISNA(MATCH($H573,Buffers!$AE:$AE,0)),"Not on Buffers",IF(NOT(ISNUMBER($B573)),"Needs a date",IF(INT($B573)&lt;PlanDate,"Past due",IF(INT($B573)=PlanDate,"Due today",IF(AND(INDEX(Buffers!$L:$L,MATCH($H573,Buffers!$AE:$AE,0))="Planned",$E573&gt;0,INT($B573)&lt;=PlanDate+ROUNDUP(IF(ISNUMBER(SpikeHorizon),SpikeHorizon,INDEX(Buffers!$D:$D,MATCH($H573,Buffers!$AE:$AE,0))),0),$E573&gt;=SpikePct*INDEX(Buffers!$P:$P,MATCH($H573,Buffers!$AE:$AE,0))),"Spike","Not qualified"))))))</f>
        <v/>
      </c>
      <c r="G573" s="8" t="str">
        <f aca="false">IF($A573="","",IF(OR($F573="Past due",$F573="Due today",$F573="Spike"),$C573,0))</f>
        <v/>
      </c>
      <c r="H573" s="8" t="str">
        <f aca="false">IF($A573="","",SUBSTITUTE(SUBSTITUTE(SUBSTITUTE($A573&amp;"","~","~~"),"*","~*"),"?","~?"))</f>
        <v/>
      </c>
    </row>
    <row r="574" customFormat="false" ht="15" hidden="false" customHeight="false" outlineLevel="0" collapsed="false">
      <c r="A574" s="11"/>
      <c r="B574" s="6"/>
      <c r="C574" s="11"/>
      <c r="D574" s="11"/>
      <c r="E574" s="8" t="str">
        <f aca="false">IF($A574="","",SUMIFS($C:$C,$A:$A,$H574,$B:$B,"&gt;="&amp;INT($B574),$B:$B,"&lt;"&amp;(INT($B574)+1)))</f>
        <v/>
      </c>
      <c r="F574" s="19" t="str">
        <f aca="false">IF($A574="","",IF(ISNA(MATCH($H574,Buffers!$AE:$AE,0)),"Not on Buffers",IF(NOT(ISNUMBER($B574)),"Needs a date",IF(INT($B574)&lt;PlanDate,"Past due",IF(INT($B574)=PlanDate,"Due today",IF(AND(INDEX(Buffers!$L:$L,MATCH($H574,Buffers!$AE:$AE,0))="Planned",$E574&gt;0,INT($B574)&lt;=PlanDate+ROUNDUP(IF(ISNUMBER(SpikeHorizon),SpikeHorizon,INDEX(Buffers!$D:$D,MATCH($H574,Buffers!$AE:$AE,0))),0),$E574&gt;=SpikePct*INDEX(Buffers!$P:$P,MATCH($H574,Buffers!$AE:$AE,0))),"Spike","Not qualified"))))))</f>
        <v/>
      </c>
      <c r="G574" s="8" t="str">
        <f aca="false">IF($A574="","",IF(OR($F574="Past due",$F574="Due today",$F574="Spike"),$C574,0))</f>
        <v/>
      </c>
      <c r="H574" s="8" t="str">
        <f aca="false">IF($A574="","",SUBSTITUTE(SUBSTITUTE(SUBSTITUTE($A574&amp;"","~","~~"),"*","~*"),"?","~?"))</f>
        <v/>
      </c>
    </row>
    <row r="575" customFormat="false" ht="15" hidden="false" customHeight="false" outlineLevel="0" collapsed="false">
      <c r="A575" s="11"/>
      <c r="B575" s="6"/>
      <c r="C575" s="11"/>
      <c r="D575" s="11"/>
      <c r="E575" s="8" t="str">
        <f aca="false">IF($A575="","",SUMIFS($C:$C,$A:$A,$H575,$B:$B,"&gt;="&amp;INT($B575),$B:$B,"&lt;"&amp;(INT($B575)+1)))</f>
        <v/>
      </c>
      <c r="F575" s="19" t="str">
        <f aca="false">IF($A575="","",IF(ISNA(MATCH($H575,Buffers!$AE:$AE,0)),"Not on Buffers",IF(NOT(ISNUMBER($B575)),"Needs a date",IF(INT($B575)&lt;PlanDate,"Past due",IF(INT($B575)=PlanDate,"Due today",IF(AND(INDEX(Buffers!$L:$L,MATCH($H575,Buffers!$AE:$AE,0))="Planned",$E575&gt;0,INT($B575)&lt;=PlanDate+ROUNDUP(IF(ISNUMBER(SpikeHorizon),SpikeHorizon,INDEX(Buffers!$D:$D,MATCH($H575,Buffers!$AE:$AE,0))),0),$E575&gt;=SpikePct*INDEX(Buffers!$P:$P,MATCH($H575,Buffers!$AE:$AE,0))),"Spike","Not qualified"))))))</f>
        <v/>
      </c>
      <c r="G575" s="8" t="str">
        <f aca="false">IF($A575="","",IF(OR($F575="Past due",$F575="Due today",$F575="Spike"),$C575,0))</f>
        <v/>
      </c>
      <c r="H575" s="8" t="str">
        <f aca="false">IF($A575="","",SUBSTITUTE(SUBSTITUTE(SUBSTITUTE($A575&amp;"","~","~~"),"*","~*"),"?","~?"))</f>
        <v/>
      </c>
    </row>
    <row r="576" customFormat="false" ht="15" hidden="false" customHeight="false" outlineLevel="0" collapsed="false">
      <c r="A576" s="11"/>
      <c r="B576" s="6"/>
      <c r="C576" s="11"/>
      <c r="D576" s="11"/>
      <c r="E576" s="8" t="str">
        <f aca="false">IF($A576="","",SUMIFS($C:$C,$A:$A,$H576,$B:$B,"&gt;="&amp;INT($B576),$B:$B,"&lt;"&amp;(INT($B576)+1)))</f>
        <v/>
      </c>
      <c r="F576" s="19" t="str">
        <f aca="false">IF($A576="","",IF(ISNA(MATCH($H576,Buffers!$AE:$AE,0)),"Not on Buffers",IF(NOT(ISNUMBER($B576)),"Needs a date",IF(INT($B576)&lt;PlanDate,"Past due",IF(INT($B576)=PlanDate,"Due today",IF(AND(INDEX(Buffers!$L:$L,MATCH($H576,Buffers!$AE:$AE,0))="Planned",$E576&gt;0,INT($B576)&lt;=PlanDate+ROUNDUP(IF(ISNUMBER(SpikeHorizon),SpikeHorizon,INDEX(Buffers!$D:$D,MATCH($H576,Buffers!$AE:$AE,0))),0),$E576&gt;=SpikePct*INDEX(Buffers!$P:$P,MATCH($H576,Buffers!$AE:$AE,0))),"Spike","Not qualified"))))))</f>
        <v/>
      </c>
      <c r="G576" s="8" t="str">
        <f aca="false">IF($A576="","",IF(OR($F576="Past due",$F576="Due today",$F576="Spike"),$C576,0))</f>
        <v/>
      </c>
      <c r="H576" s="8" t="str">
        <f aca="false">IF($A576="","",SUBSTITUTE(SUBSTITUTE(SUBSTITUTE($A576&amp;"","~","~~"),"*","~*"),"?","~?"))</f>
        <v/>
      </c>
    </row>
    <row r="577" customFormat="false" ht="15" hidden="false" customHeight="false" outlineLevel="0" collapsed="false">
      <c r="A577" s="11"/>
      <c r="B577" s="6"/>
      <c r="C577" s="11"/>
      <c r="D577" s="11"/>
      <c r="E577" s="8" t="str">
        <f aca="false">IF($A577="","",SUMIFS($C:$C,$A:$A,$H577,$B:$B,"&gt;="&amp;INT($B577),$B:$B,"&lt;"&amp;(INT($B577)+1)))</f>
        <v/>
      </c>
      <c r="F577" s="19" t="str">
        <f aca="false">IF($A577="","",IF(ISNA(MATCH($H577,Buffers!$AE:$AE,0)),"Not on Buffers",IF(NOT(ISNUMBER($B577)),"Needs a date",IF(INT($B577)&lt;PlanDate,"Past due",IF(INT($B577)=PlanDate,"Due today",IF(AND(INDEX(Buffers!$L:$L,MATCH($H577,Buffers!$AE:$AE,0))="Planned",$E577&gt;0,INT($B577)&lt;=PlanDate+ROUNDUP(IF(ISNUMBER(SpikeHorizon),SpikeHorizon,INDEX(Buffers!$D:$D,MATCH($H577,Buffers!$AE:$AE,0))),0),$E577&gt;=SpikePct*INDEX(Buffers!$P:$P,MATCH($H577,Buffers!$AE:$AE,0))),"Spike","Not qualified"))))))</f>
        <v/>
      </c>
      <c r="G577" s="8" t="str">
        <f aca="false">IF($A577="","",IF(OR($F577="Past due",$F577="Due today",$F577="Spike"),$C577,0))</f>
        <v/>
      </c>
      <c r="H577" s="8" t="str">
        <f aca="false">IF($A577="","",SUBSTITUTE(SUBSTITUTE(SUBSTITUTE($A577&amp;"","~","~~"),"*","~*"),"?","~?"))</f>
        <v/>
      </c>
    </row>
    <row r="578" customFormat="false" ht="15" hidden="false" customHeight="false" outlineLevel="0" collapsed="false">
      <c r="A578" s="11"/>
      <c r="B578" s="6"/>
      <c r="C578" s="11"/>
      <c r="D578" s="11"/>
      <c r="E578" s="8" t="str">
        <f aca="false">IF($A578="","",SUMIFS($C:$C,$A:$A,$H578,$B:$B,"&gt;="&amp;INT($B578),$B:$B,"&lt;"&amp;(INT($B578)+1)))</f>
        <v/>
      </c>
      <c r="F578" s="19" t="str">
        <f aca="false">IF($A578="","",IF(ISNA(MATCH($H578,Buffers!$AE:$AE,0)),"Not on Buffers",IF(NOT(ISNUMBER($B578)),"Needs a date",IF(INT($B578)&lt;PlanDate,"Past due",IF(INT($B578)=PlanDate,"Due today",IF(AND(INDEX(Buffers!$L:$L,MATCH($H578,Buffers!$AE:$AE,0))="Planned",$E578&gt;0,INT($B578)&lt;=PlanDate+ROUNDUP(IF(ISNUMBER(SpikeHorizon),SpikeHorizon,INDEX(Buffers!$D:$D,MATCH($H578,Buffers!$AE:$AE,0))),0),$E578&gt;=SpikePct*INDEX(Buffers!$P:$P,MATCH($H578,Buffers!$AE:$AE,0))),"Spike","Not qualified"))))))</f>
        <v/>
      </c>
      <c r="G578" s="8" t="str">
        <f aca="false">IF($A578="","",IF(OR($F578="Past due",$F578="Due today",$F578="Spike"),$C578,0))</f>
        <v/>
      </c>
      <c r="H578" s="8" t="str">
        <f aca="false">IF($A578="","",SUBSTITUTE(SUBSTITUTE(SUBSTITUTE($A578&amp;"","~","~~"),"*","~*"),"?","~?"))</f>
        <v/>
      </c>
    </row>
    <row r="579" customFormat="false" ht="15" hidden="false" customHeight="false" outlineLevel="0" collapsed="false">
      <c r="A579" s="11"/>
      <c r="B579" s="6"/>
      <c r="C579" s="11"/>
      <c r="D579" s="11"/>
      <c r="E579" s="8" t="str">
        <f aca="false">IF($A579="","",SUMIFS($C:$C,$A:$A,$H579,$B:$B,"&gt;="&amp;INT($B579),$B:$B,"&lt;"&amp;(INT($B579)+1)))</f>
        <v/>
      </c>
      <c r="F579" s="19" t="str">
        <f aca="false">IF($A579="","",IF(ISNA(MATCH($H579,Buffers!$AE:$AE,0)),"Not on Buffers",IF(NOT(ISNUMBER($B579)),"Needs a date",IF(INT($B579)&lt;PlanDate,"Past due",IF(INT($B579)=PlanDate,"Due today",IF(AND(INDEX(Buffers!$L:$L,MATCH($H579,Buffers!$AE:$AE,0))="Planned",$E579&gt;0,INT($B579)&lt;=PlanDate+ROUNDUP(IF(ISNUMBER(SpikeHorizon),SpikeHorizon,INDEX(Buffers!$D:$D,MATCH($H579,Buffers!$AE:$AE,0))),0),$E579&gt;=SpikePct*INDEX(Buffers!$P:$P,MATCH($H579,Buffers!$AE:$AE,0))),"Spike","Not qualified"))))))</f>
        <v/>
      </c>
      <c r="G579" s="8" t="str">
        <f aca="false">IF($A579="","",IF(OR($F579="Past due",$F579="Due today",$F579="Spike"),$C579,0))</f>
        <v/>
      </c>
      <c r="H579" s="8" t="str">
        <f aca="false">IF($A579="","",SUBSTITUTE(SUBSTITUTE(SUBSTITUTE($A579&amp;"","~","~~"),"*","~*"),"?","~?"))</f>
        <v/>
      </c>
    </row>
    <row r="580" customFormat="false" ht="15" hidden="false" customHeight="false" outlineLevel="0" collapsed="false">
      <c r="A580" s="11"/>
      <c r="B580" s="6"/>
      <c r="C580" s="11"/>
      <c r="D580" s="11"/>
      <c r="E580" s="8" t="str">
        <f aca="false">IF($A580="","",SUMIFS($C:$C,$A:$A,$H580,$B:$B,"&gt;="&amp;INT($B580),$B:$B,"&lt;"&amp;(INT($B580)+1)))</f>
        <v/>
      </c>
      <c r="F580" s="19" t="str">
        <f aca="false">IF($A580="","",IF(ISNA(MATCH($H580,Buffers!$AE:$AE,0)),"Not on Buffers",IF(NOT(ISNUMBER($B580)),"Needs a date",IF(INT($B580)&lt;PlanDate,"Past due",IF(INT($B580)=PlanDate,"Due today",IF(AND(INDEX(Buffers!$L:$L,MATCH($H580,Buffers!$AE:$AE,0))="Planned",$E580&gt;0,INT($B580)&lt;=PlanDate+ROUNDUP(IF(ISNUMBER(SpikeHorizon),SpikeHorizon,INDEX(Buffers!$D:$D,MATCH($H580,Buffers!$AE:$AE,0))),0),$E580&gt;=SpikePct*INDEX(Buffers!$P:$P,MATCH($H580,Buffers!$AE:$AE,0))),"Spike","Not qualified"))))))</f>
        <v/>
      </c>
      <c r="G580" s="8" t="str">
        <f aca="false">IF($A580="","",IF(OR($F580="Past due",$F580="Due today",$F580="Spike"),$C580,0))</f>
        <v/>
      </c>
      <c r="H580" s="8" t="str">
        <f aca="false">IF($A580="","",SUBSTITUTE(SUBSTITUTE(SUBSTITUTE($A580&amp;"","~","~~"),"*","~*"),"?","~?"))</f>
        <v/>
      </c>
    </row>
    <row r="581" customFormat="false" ht="15" hidden="false" customHeight="false" outlineLevel="0" collapsed="false">
      <c r="A581" s="11"/>
      <c r="B581" s="6"/>
      <c r="C581" s="11"/>
      <c r="D581" s="11"/>
      <c r="E581" s="8" t="str">
        <f aca="false">IF($A581="","",SUMIFS($C:$C,$A:$A,$H581,$B:$B,"&gt;="&amp;INT($B581),$B:$B,"&lt;"&amp;(INT($B581)+1)))</f>
        <v/>
      </c>
      <c r="F581" s="19" t="str">
        <f aca="false">IF($A581="","",IF(ISNA(MATCH($H581,Buffers!$AE:$AE,0)),"Not on Buffers",IF(NOT(ISNUMBER($B581)),"Needs a date",IF(INT($B581)&lt;PlanDate,"Past due",IF(INT($B581)=PlanDate,"Due today",IF(AND(INDEX(Buffers!$L:$L,MATCH($H581,Buffers!$AE:$AE,0))="Planned",$E581&gt;0,INT($B581)&lt;=PlanDate+ROUNDUP(IF(ISNUMBER(SpikeHorizon),SpikeHorizon,INDEX(Buffers!$D:$D,MATCH($H581,Buffers!$AE:$AE,0))),0),$E581&gt;=SpikePct*INDEX(Buffers!$P:$P,MATCH($H581,Buffers!$AE:$AE,0))),"Spike","Not qualified"))))))</f>
        <v/>
      </c>
      <c r="G581" s="8" t="str">
        <f aca="false">IF($A581="","",IF(OR($F581="Past due",$F581="Due today",$F581="Spike"),$C581,0))</f>
        <v/>
      </c>
      <c r="H581" s="8" t="str">
        <f aca="false">IF($A581="","",SUBSTITUTE(SUBSTITUTE(SUBSTITUTE($A581&amp;"","~","~~"),"*","~*"),"?","~?"))</f>
        <v/>
      </c>
    </row>
    <row r="582" customFormat="false" ht="15" hidden="false" customHeight="false" outlineLevel="0" collapsed="false">
      <c r="A582" s="11"/>
      <c r="B582" s="6"/>
      <c r="C582" s="11"/>
      <c r="D582" s="11"/>
      <c r="E582" s="8" t="str">
        <f aca="false">IF($A582="","",SUMIFS($C:$C,$A:$A,$H582,$B:$B,"&gt;="&amp;INT($B582),$B:$B,"&lt;"&amp;(INT($B582)+1)))</f>
        <v/>
      </c>
      <c r="F582" s="19" t="str">
        <f aca="false">IF($A582="","",IF(ISNA(MATCH($H582,Buffers!$AE:$AE,0)),"Not on Buffers",IF(NOT(ISNUMBER($B582)),"Needs a date",IF(INT($B582)&lt;PlanDate,"Past due",IF(INT($B582)=PlanDate,"Due today",IF(AND(INDEX(Buffers!$L:$L,MATCH($H582,Buffers!$AE:$AE,0))="Planned",$E582&gt;0,INT($B582)&lt;=PlanDate+ROUNDUP(IF(ISNUMBER(SpikeHorizon),SpikeHorizon,INDEX(Buffers!$D:$D,MATCH($H582,Buffers!$AE:$AE,0))),0),$E582&gt;=SpikePct*INDEX(Buffers!$P:$P,MATCH($H582,Buffers!$AE:$AE,0))),"Spike","Not qualified"))))))</f>
        <v/>
      </c>
      <c r="G582" s="8" t="str">
        <f aca="false">IF($A582="","",IF(OR($F582="Past due",$F582="Due today",$F582="Spike"),$C582,0))</f>
        <v/>
      </c>
      <c r="H582" s="8" t="str">
        <f aca="false">IF($A582="","",SUBSTITUTE(SUBSTITUTE(SUBSTITUTE($A582&amp;"","~","~~"),"*","~*"),"?","~?"))</f>
        <v/>
      </c>
    </row>
    <row r="583" customFormat="false" ht="15" hidden="false" customHeight="false" outlineLevel="0" collapsed="false">
      <c r="A583" s="11"/>
      <c r="B583" s="6"/>
      <c r="C583" s="11"/>
      <c r="D583" s="11"/>
      <c r="E583" s="8" t="str">
        <f aca="false">IF($A583="","",SUMIFS($C:$C,$A:$A,$H583,$B:$B,"&gt;="&amp;INT($B583),$B:$B,"&lt;"&amp;(INT($B583)+1)))</f>
        <v/>
      </c>
      <c r="F583" s="19" t="str">
        <f aca="false">IF($A583="","",IF(ISNA(MATCH($H583,Buffers!$AE:$AE,0)),"Not on Buffers",IF(NOT(ISNUMBER($B583)),"Needs a date",IF(INT($B583)&lt;PlanDate,"Past due",IF(INT($B583)=PlanDate,"Due today",IF(AND(INDEX(Buffers!$L:$L,MATCH($H583,Buffers!$AE:$AE,0))="Planned",$E583&gt;0,INT($B583)&lt;=PlanDate+ROUNDUP(IF(ISNUMBER(SpikeHorizon),SpikeHorizon,INDEX(Buffers!$D:$D,MATCH($H583,Buffers!$AE:$AE,0))),0),$E583&gt;=SpikePct*INDEX(Buffers!$P:$P,MATCH($H583,Buffers!$AE:$AE,0))),"Spike","Not qualified"))))))</f>
        <v/>
      </c>
      <c r="G583" s="8" t="str">
        <f aca="false">IF($A583="","",IF(OR($F583="Past due",$F583="Due today",$F583="Spike"),$C583,0))</f>
        <v/>
      </c>
      <c r="H583" s="8" t="str">
        <f aca="false">IF($A583="","",SUBSTITUTE(SUBSTITUTE(SUBSTITUTE($A583&amp;"","~","~~"),"*","~*"),"?","~?"))</f>
        <v/>
      </c>
    </row>
    <row r="584" customFormat="false" ht="15" hidden="false" customHeight="false" outlineLevel="0" collapsed="false">
      <c r="A584" s="11"/>
      <c r="B584" s="6"/>
      <c r="C584" s="11"/>
      <c r="D584" s="11"/>
      <c r="E584" s="8" t="str">
        <f aca="false">IF($A584="","",SUMIFS($C:$C,$A:$A,$H584,$B:$B,"&gt;="&amp;INT($B584),$B:$B,"&lt;"&amp;(INT($B584)+1)))</f>
        <v/>
      </c>
      <c r="F584" s="19" t="str">
        <f aca="false">IF($A584="","",IF(ISNA(MATCH($H584,Buffers!$AE:$AE,0)),"Not on Buffers",IF(NOT(ISNUMBER($B584)),"Needs a date",IF(INT($B584)&lt;PlanDate,"Past due",IF(INT($B584)=PlanDate,"Due today",IF(AND(INDEX(Buffers!$L:$L,MATCH($H584,Buffers!$AE:$AE,0))="Planned",$E584&gt;0,INT($B584)&lt;=PlanDate+ROUNDUP(IF(ISNUMBER(SpikeHorizon),SpikeHorizon,INDEX(Buffers!$D:$D,MATCH($H584,Buffers!$AE:$AE,0))),0),$E584&gt;=SpikePct*INDEX(Buffers!$P:$P,MATCH($H584,Buffers!$AE:$AE,0))),"Spike","Not qualified"))))))</f>
        <v/>
      </c>
      <c r="G584" s="8" t="str">
        <f aca="false">IF($A584="","",IF(OR($F584="Past due",$F584="Due today",$F584="Spike"),$C584,0))</f>
        <v/>
      </c>
      <c r="H584" s="8" t="str">
        <f aca="false">IF($A584="","",SUBSTITUTE(SUBSTITUTE(SUBSTITUTE($A584&amp;"","~","~~"),"*","~*"),"?","~?"))</f>
        <v/>
      </c>
    </row>
    <row r="585" customFormat="false" ht="15" hidden="false" customHeight="false" outlineLevel="0" collapsed="false">
      <c r="A585" s="11"/>
      <c r="B585" s="6"/>
      <c r="C585" s="11"/>
      <c r="D585" s="11"/>
      <c r="E585" s="8" t="str">
        <f aca="false">IF($A585="","",SUMIFS($C:$C,$A:$A,$H585,$B:$B,"&gt;="&amp;INT($B585),$B:$B,"&lt;"&amp;(INT($B585)+1)))</f>
        <v/>
      </c>
      <c r="F585" s="19" t="str">
        <f aca="false">IF($A585="","",IF(ISNA(MATCH($H585,Buffers!$AE:$AE,0)),"Not on Buffers",IF(NOT(ISNUMBER($B585)),"Needs a date",IF(INT($B585)&lt;PlanDate,"Past due",IF(INT($B585)=PlanDate,"Due today",IF(AND(INDEX(Buffers!$L:$L,MATCH($H585,Buffers!$AE:$AE,0))="Planned",$E585&gt;0,INT($B585)&lt;=PlanDate+ROUNDUP(IF(ISNUMBER(SpikeHorizon),SpikeHorizon,INDEX(Buffers!$D:$D,MATCH($H585,Buffers!$AE:$AE,0))),0),$E585&gt;=SpikePct*INDEX(Buffers!$P:$P,MATCH($H585,Buffers!$AE:$AE,0))),"Spike","Not qualified"))))))</f>
        <v/>
      </c>
      <c r="G585" s="8" t="str">
        <f aca="false">IF($A585="","",IF(OR($F585="Past due",$F585="Due today",$F585="Spike"),$C585,0))</f>
        <v/>
      </c>
      <c r="H585" s="8" t="str">
        <f aca="false">IF($A585="","",SUBSTITUTE(SUBSTITUTE(SUBSTITUTE($A585&amp;"","~","~~"),"*","~*"),"?","~?"))</f>
        <v/>
      </c>
    </row>
    <row r="586" customFormat="false" ht="15" hidden="false" customHeight="false" outlineLevel="0" collapsed="false">
      <c r="A586" s="11"/>
      <c r="B586" s="6"/>
      <c r="C586" s="11"/>
      <c r="D586" s="11"/>
      <c r="E586" s="8" t="str">
        <f aca="false">IF($A586="","",SUMIFS($C:$C,$A:$A,$H586,$B:$B,"&gt;="&amp;INT($B586),$B:$B,"&lt;"&amp;(INT($B586)+1)))</f>
        <v/>
      </c>
      <c r="F586" s="19" t="str">
        <f aca="false">IF($A586="","",IF(ISNA(MATCH($H586,Buffers!$AE:$AE,0)),"Not on Buffers",IF(NOT(ISNUMBER($B586)),"Needs a date",IF(INT($B586)&lt;PlanDate,"Past due",IF(INT($B586)=PlanDate,"Due today",IF(AND(INDEX(Buffers!$L:$L,MATCH($H586,Buffers!$AE:$AE,0))="Planned",$E586&gt;0,INT($B586)&lt;=PlanDate+ROUNDUP(IF(ISNUMBER(SpikeHorizon),SpikeHorizon,INDEX(Buffers!$D:$D,MATCH($H586,Buffers!$AE:$AE,0))),0),$E586&gt;=SpikePct*INDEX(Buffers!$P:$P,MATCH($H586,Buffers!$AE:$AE,0))),"Spike","Not qualified"))))))</f>
        <v/>
      </c>
      <c r="G586" s="8" t="str">
        <f aca="false">IF($A586="","",IF(OR($F586="Past due",$F586="Due today",$F586="Spike"),$C586,0))</f>
        <v/>
      </c>
      <c r="H586" s="8" t="str">
        <f aca="false">IF($A586="","",SUBSTITUTE(SUBSTITUTE(SUBSTITUTE($A586&amp;"","~","~~"),"*","~*"),"?","~?"))</f>
        <v/>
      </c>
    </row>
    <row r="587" customFormat="false" ht="15" hidden="false" customHeight="false" outlineLevel="0" collapsed="false">
      <c r="A587" s="11"/>
      <c r="B587" s="6"/>
      <c r="C587" s="11"/>
      <c r="D587" s="11"/>
      <c r="E587" s="8" t="str">
        <f aca="false">IF($A587="","",SUMIFS($C:$C,$A:$A,$H587,$B:$B,"&gt;="&amp;INT($B587),$B:$B,"&lt;"&amp;(INT($B587)+1)))</f>
        <v/>
      </c>
      <c r="F587" s="19" t="str">
        <f aca="false">IF($A587="","",IF(ISNA(MATCH($H587,Buffers!$AE:$AE,0)),"Not on Buffers",IF(NOT(ISNUMBER($B587)),"Needs a date",IF(INT($B587)&lt;PlanDate,"Past due",IF(INT($B587)=PlanDate,"Due today",IF(AND(INDEX(Buffers!$L:$L,MATCH($H587,Buffers!$AE:$AE,0))="Planned",$E587&gt;0,INT($B587)&lt;=PlanDate+ROUNDUP(IF(ISNUMBER(SpikeHorizon),SpikeHorizon,INDEX(Buffers!$D:$D,MATCH($H587,Buffers!$AE:$AE,0))),0),$E587&gt;=SpikePct*INDEX(Buffers!$P:$P,MATCH($H587,Buffers!$AE:$AE,0))),"Spike","Not qualified"))))))</f>
        <v/>
      </c>
      <c r="G587" s="8" t="str">
        <f aca="false">IF($A587="","",IF(OR($F587="Past due",$F587="Due today",$F587="Spike"),$C587,0))</f>
        <v/>
      </c>
      <c r="H587" s="8" t="str">
        <f aca="false">IF($A587="","",SUBSTITUTE(SUBSTITUTE(SUBSTITUTE($A587&amp;"","~","~~"),"*","~*"),"?","~?"))</f>
        <v/>
      </c>
    </row>
    <row r="588" customFormat="false" ht="15" hidden="false" customHeight="false" outlineLevel="0" collapsed="false">
      <c r="A588" s="11"/>
      <c r="B588" s="6"/>
      <c r="C588" s="11"/>
      <c r="D588" s="11"/>
      <c r="E588" s="8" t="str">
        <f aca="false">IF($A588="","",SUMIFS($C:$C,$A:$A,$H588,$B:$B,"&gt;="&amp;INT($B588),$B:$B,"&lt;"&amp;(INT($B588)+1)))</f>
        <v/>
      </c>
      <c r="F588" s="19" t="str">
        <f aca="false">IF($A588="","",IF(ISNA(MATCH($H588,Buffers!$AE:$AE,0)),"Not on Buffers",IF(NOT(ISNUMBER($B588)),"Needs a date",IF(INT($B588)&lt;PlanDate,"Past due",IF(INT($B588)=PlanDate,"Due today",IF(AND(INDEX(Buffers!$L:$L,MATCH($H588,Buffers!$AE:$AE,0))="Planned",$E588&gt;0,INT($B588)&lt;=PlanDate+ROUNDUP(IF(ISNUMBER(SpikeHorizon),SpikeHorizon,INDEX(Buffers!$D:$D,MATCH($H588,Buffers!$AE:$AE,0))),0),$E588&gt;=SpikePct*INDEX(Buffers!$P:$P,MATCH($H588,Buffers!$AE:$AE,0))),"Spike","Not qualified"))))))</f>
        <v/>
      </c>
      <c r="G588" s="8" t="str">
        <f aca="false">IF($A588="","",IF(OR($F588="Past due",$F588="Due today",$F588="Spike"),$C588,0))</f>
        <v/>
      </c>
      <c r="H588" s="8" t="str">
        <f aca="false">IF($A588="","",SUBSTITUTE(SUBSTITUTE(SUBSTITUTE($A588&amp;"","~","~~"),"*","~*"),"?","~?"))</f>
        <v/>
      </c>
    </row>
    <row r="589" customFormat="false" ht="15" hidden="false" customHeight="false" outlineLevel="0" collapsed="false">
      <c r="A589" s="11"/>
      <c r="B589" s="6"/>
      <c r="C589" s="11"/>
      <c r="D589" s="11"/>
      <c r="E589" s="8" t="str">
        <f aca="false">IF($A589="","",SUMIFS($C:$C,$A:$A,$H589,$B:$B,"&gt;="&amp;INT($B589),$B:$B,"&lt;"&amp;(INT($B589)+1)))</f>
        <v/>
      </c>
      <c r="F589" s="19" t="str">
        <f aca="false">IF($A589="","",IF(ISNA(MATCH($H589,Buffers!$AE:$AE,0)),"Not on Buffers",IF(NOT(ISNUMBER($B589)),"Needs a date",IF(INT($B589)&lt;PlanDate,"Past due",IF(INT($B589)=PlanDate,"Due today",IF(AND(INDEX(Buffers!$L:$L,MATCH($H589,Buffers!$AE:$AE,0))="Planned",$E589&gt;0,INT($B589)&lt;=PlanDate+ROUNDUP(IF(ISNUMBER(SpikeHorizon),SpikeHorizon,INDEX(Buffers!$D:$D,MATCH($H589,Buffers!$AE:$AE,0))),0),$E589&gt;=SpikePct*INDEX(Buffers!$P:$P,MATCH($H589,Buffers!$AE:$AE,0))),"Spike","Not qualified"))))))</f>
        <v/>
      </c>
      <c r="G589" s="8" t="str">
        <f aca="false">IF($A589="","",IF(OR($F589="Past due",$F589="Due today",$F589="Spike"),$C589,0))</f>
        <v/>
      </c>
      <c r="H589" s="8" t="str">
        <f aca="false">IF($A589="","",SUBSTITUTE(SUBSTITUTE(SUBSTITUTE($A589&amp;"","~","~~"),"*","~*"),"?","~?"))</f>
        <v/>
      </c>
    </row>
    <row r="590" customFormat="false" ht="15" hidden="false" customHeight="false" outlineLevel="0" collapsed="false">
      <c r="A590" s="11"/>
      <c r="B590" s="6"/>
      <c r="C590" s="11"/>
      <c r="D590" s="11"/>
      <c r="E590" s="8" t="str">
        <f aca="false">IF($A590="","",SUMIFS($C:$C,$A:$A,$H590,$B:$B,"&gt;="&amp;INT($B590),$B:$B,"&lt;"&amp;(INT($B590)+1)))</f>
        <v/>
      </c>
      <c r="F590" s="19" t="str">
        <f aca="false">IF($A590="","",IF(ISNA(MATCH($H590,Buffers!$AE:$AE,0)),"Not on Buffers",IF(NOT(ISNUMBER($B590)),"Needs a date",IF(INT($B590)&lt;PlanDate,"Past due",IF(INT($B590)=PlanDate,"Due today",IF(AND(INDEX(Buffers!$L:$L,MATCH($H590,Buffers!$AE:$AE,0))="Planned",$E590&gt;0,INT($B590)&lt;=PlanDate+ROUNDUP(IF(ISNUMBER(SpikeHorizon),SpikeHorizon,INDEX(Buffers!$D:$D,MATCH($H590,Buffers!$AE:$AE,0))),0),$E590&gt;=SpikePct*INDEX(Buffers!$P:$P,MATCH($H590,Buffers!$AE:$AE,0))),"Spike","Not qualified"))))))</f>
        <v/>
      </c>
      <c r="G590" s="8" t="str">
        <f aca="false">IF($A590="","",IF(OR($F590="Past due",$F590="Due today",$F590="Spike"),$C590,0))</f>
        <v/>
      </c>
      <c r="H590" s="8" t="str">
        <f aca="false">IF($A590="","",SUBSTITUTE(SUBSTITUTE(SUBSTITUTE($A590&amp;"","~","~~"),"*","~*"),"?","~?"))</f>
        <v/>
      </c>
    </row>
    <row r="591" customFormat="false" ht="15" hidden="false" customHeight="false" outlineLevel="0" collapsed="false">
      <c r="A591" s="11"/>
      <c r="B591" s="6"/>
      <c r="C591" s="11"/>
      <c r="D591" s="11"/>
      <c r="E591" s="8" t="str">
        <f aca="false">IF($A591="","",SUMIFS($C:$C,$A:$A,$H591,$B:$B,"&gt;="&amp;INT($B591),$B:$B,"&lt;"&amp;(INT($B591)+1)))</f>
        <v/>
      </c>
      <c r="F591" s="19" t="str">
        <f aca="false">IF($A591="","",IF(ISNA(MATCH($H591,Buffers!$AE:$AE,0)),"Not on Buffers",IF(NOT(ISNUMBER($B591)),"Needs a date",IF(INT($B591)&lt;PlanDate,"Past due",IF(INT($B591)=PlanDate,"Due today",IF(AND(INDEX(Buffers!$L:$L,MATCH($H591,Buffers!$AE:$AE,0))="Planned",$E591&gt;0,INT($B591)&lt;=PlanDate+ROUNDUP(IF(ISNUMBER(SpikeHorizon),SpikeHorizon,INDEX(Buffers!$D:$D,MATCH($H591,Buffers!$AE:$AE,0))),0),$E591&gt;=SpikePct*INDEX(Buffers!$P:$P,MATCH($H591,Buffers!$AE:$AE,0))),"Spike","Not qualified"))))))</f>
        <v/>
      </c>
      <c r="G591" s="8" t="str">
        <f aca="false">IF($A591="","",IF(OR($F591="Past due",$F591="Due today",$F591="Spike"),$C591,0))</f>
        <v/>
      </c>
      <c r="H591" s="8" t="str">
        <f aca="false">IF($A591="","",SUBSTITUTE(SUBSTITUTE(SUBSTITUTE($A591&amp;"","~","~~"),"*","~*"),"?","~?"))</f>
        <v/>
      </c>
    </row>
    <row r="592" customFormat="false" ht="15" hidden="false" customHeight="false" outlineLevel="0" collapsed="false">
      <c r="A592" s="11"/>
      <c r="B592" s="6"/>
      <c r="C592" s="11"/>
      <c r="D592" s="11"/>
      <c r="E592" s="8" t="str">
        <f aca="false">IF($A592="","",SUMIFS($C:$C,$A:$A,$H592,$B:$B,"&gt;="&amp;INT($B592),$B:$B,"&lt;"&amp;(INT($B592)+1)))</f>
        <v/>
      </c>
      <c r="F592" s="19" t="str">
        <f aca="false">IF($A592="","",IF(ISNA(MATCH($H592,Buffers!$AE:$AE,0)),"Not on Buffers",IF(NOT(ISNUMBER($B592)),"Needs a date",IF(INT($B592)&lt;PlanDate,"Past due",IF(INT($B592)=PlanDate,"Due today",IF(AND(INDEX(Buffers!$L:$L,MATCH($H592,Buffers!$AE:$AE,0))="Planned",$E592&gt;0,INT($B592)&lt;=PlanDate+ROUNDUP(IF(ISNUMBER(SpikeHorizon),SpikeHorizon,INDEX(Buffers!$D:$D,MATCH($H592,Buffers!$AE:$AE,0))),0),$E592&gt;=SpikePct*INDEX(Buffers!$P:$P,MATCH($H592,Buffers!$AE:$AE,0))),"Spike","Not qualified"))))))</f>
        <v/>
      </c>
      <c r="G592" s="8" t="str">
        <f aca="false">IF($A592="","",IF(OR($F592="Past due",$F592="Due today",$F592="Spike"),$C592,0))</f>
        <v/>
      </c>
      <c r="H592" s="8" t="str">
        <f aca="false">IF($A592="","",SUBSTITUTE(SUBSTITUTE(SUBSTITUTE($A592&amp;"","~","~~"),"*","~*"),"?","~?"))</f>
        <v/>
      </c>
    </row>
    <row r="593" customFormat="false" ht="15" hidden="false" customHeight="false" outlineLevel="0" collapsed="false">
      <c r="A593" s="11"/>
      <c r="B593" s="6"/>
      <c r="C593" s="11"/>
      <c r="D593" s="11"/>
      <c r="E593" s="8" t="str">
        <f aca="false">IF($A593="","",SUMIFS($C:$C,$A:$A,$H593,$B:$B,"&gt;="&amp;INT($B593),$B:$B,"&lt;"&amp;(INT($B593)+1)))</f>
        <v/>
      </c>
      <c r="F593" s="19" t="str">
        <f aca="false">IF($A593="","",IF(ISNA(MATCH($H593,Buffers!$AE:$AE,0)),"Not on Buffers",IF(NOT(ISNUMBER($B593)),"Needs a date",IF(INT($B593)&lt;PlanDate,"Past due",IF(INT($B593)=PlanDate,"Due today",IF(AND(INDEX(Buffers!$L:$L,MATCH($H593,Buffers!$AE:$AE,0))="Planned",$E593&gt;0,INT($B593)&lt;=PlanDate+ROUNDUP(IF(ISNUMBER(SpikeHorizon),SpikeHorizon,INDEX(Buffers!$D:$D,MATCH($H593,Buffers!$AE:$AE,0))),0),$E593&gt;=SpikePct*INDEX(Buffers!$P:$P,MATCH($H593,Buffers!$AE:$AE,0))),"Spike","Not qualified"))))))</f>
        <v/>
      </c>
      <c r="G593" s="8" t="str">
        <f aca="false">IF($A593="","",IF(OR($F593="Past due",$F593="Due today",$F593="Spike"),$C593,0))</f>
        <v/>
      </c>
      <c r="H593" s="8" t="str">
        <f aca="false">IF($A593="","",SUBSTITUTE(SUBSTITUTE(SUBSTITUTE($A593&amp;"","~","~~"),"*","~*"),"?","~?"))</f>
        <v/>
      </c>
    </row>
    <row r="594" customFormat="false" ht="15" hidden="false" customHeight="false" outlineLevel="0" collapsed="false">
      <c r="A594" s="11"/>
      <c r="B594" s="6"/>
      <c r="C594" s="11"/>
      <c r="D594" s="11"/>
      <c r="E594" s="8" t="str">
        <f aca="false">IF($A594="","",SUMIFS($C:$C,$A:$A,$H594,$B:$B,"&gt;="&amp;INT($B594),$B:$B,"&lt;"&amp;(INT($B594)+1)))</f>
        <v/>
      </c>
      <c r="F594" s="19" t="str">
        <f aca="false">IF($A594="","",IF(ISNA(MATCH($H594,Buffers!$AE:$AE,0)),"Not on Buffers",IF(NOT(ISNUMBER($B594)),"Needs a date",IF(INT($B594)&lt;PlanDate,"Past due",IF(INT($B594)=PlanDate,"Due today",IF(AND(INDEX(Buffers!$L:$L,MATCH($H594,Buffers!$AE:$AE,0))="Planned",$E594&gt;0,INT($B594)&lt;=PlanDate+ROUNDUP(IF(ISNUMBER(SpikeHorizon),SpikeHorizon,INDEX(Buffers!$D:$D,MATCH($H594,Buffers!$AE:$AE,0))),0),$E594&gt;=SpikePct*INDEX(Buffers!$P:$P,MATCH($H594,Buffers!$AE:$AE,0))),"Spike","Not qualified"))))))</f>
        <v/>
      </c>
      <c r="G594" s="8" t="str">
        <f aca="false">IF($A594="","",IF(OR($F594="Past due",$F594="Due today",$F594="Spike"),$C594,0))</f>
        <v/>
      </c>
      <c r="H594" s="8" t="str">
        <f aca="false">IF($A594="","",SUBSTITUTE(SUBSTITUTE(SUBSTITUTE($A594&amp;"","~","~~"),"*","~*"),"?","~?"))</f>
        <v/>
      </c>
    </row>
    <row r="595" customFormat="false" ht="15" hidden="false" customHeight="false" outlineLevel="0" collapsed="false">
      <c r="A595" s="11"/>
      <c r="B595" s="6"/>
      <c r="C595" s="11"/>
      <c r="D595" s="11"/>
      <c r="E595" s="8" t="str">
        <f aca="false">IF($A595="","",SUMIFS($C:$C,$A:$A,$H595,$B:$B,"&gt;="&amp;INT($B595),$B:$B,"&lt;"&amp;(INT($B595)+1)))</f>
        <v/>
      </c>
      <c r="F595" s="19" t="str">
        <f aca="false">IF($A595="","",IF(ISNA(MATCH($H595,Buffers!$AE:$AE,0)),"Not on Buffers",IF(NOT(ISNUMBER($B595)),"Needs a date",IF(INT($B595)&lt;PlanDate,"Past due",IF(INT($B595)=PlanDate,"Due today",IF(AND(INDEX(Buffers!$L:$L,MATCH($H595,Buffers!$AE:$AE,0))="Planned",$E595&gt;0,INT($B595)&lt;=PlanDate+ROUNDUP(IF(ISNUMBER(SpikeHorizon),SpikeHorizon,INDEX(Buffers!$D:$D,MATCH($H595,Buffers!$AE:$AE,0))),0),$E595&gt;=SpikePct*INDEX(Buffers!$P:$P,MATCH($H595,Buffers!$AE:$AE,0))),"Spike","Not qualified"))))))</f>
        <v/>
      </c>
      <c r="G595" s="8" t="str">
        <f aca="false">IF($A595="","",IF(OR($F595="Past due",$F595="Due today",$F595="Spike"),$C595,0))</f>
        <v/>
      </c>
      <c r="H595" s="8" t="str">
        <f aca="false">IF($A595="","",SUBSTITUTE(SUBSTITUTE(SUBSTITUTE($A595&amp;"","~","~~"),"*","~*"),"?","~?"))</f>
        <v/>
      </c>
    </row>
    <row r="596" customFormat="false" ht="15" hidden="false" customHeight="false" outlineLevel="0" collapsed="false">
      <c r="A596" s="11"/>
      <c r="B596" s="6"/>
      <c r="C596" s="11"/>
      <c r="D596" s="11"/>
      <c r="E596" s="8" t="str">
        <f aca="false">IF($A596="","",SUMIFS($C:$C,$A:$A,$H596,$B:$B,"&gt;="&amp;INT($B596),$B:$B,"&lt;"&amp;(INT($B596)+1)))</f>
        <v/>
      </c>
      <c r="F596" s="19" t="str">
        <f aca="false">IF($A596="","",IF(ISNA(MATCH($H596,Buffers!$AE:$AE,0)),"Not on Buffers",IF(NOT(ISNUMBER($B596)),"Needs a date",IF(INT($B596)&lt;PlanDate,"Past due",IF(INT($B596)=PlanDate,"Due today",IF(AND(INDEX(Buffers!$L:$L,MATCH($H596,Buffers!$AE:$AE,0))="Planned",$E596&gt;0,INT($B596)&lt;=PlanDate+ROUNDUP(IF(ISNUMBER(SpikeHorizon),SpikeHorizon,INDEX(Buffers!$D:$D,MATCH($H596,Buffers!$AE:$AE,0))),0),$E596&gt;=SpikePct*INDEX(Buffers!$P:$P,MATCH($H596,Buffers!$AE:$AE,0))),"Spike","Not qualified"))))))</f>
        <v/>
      </c>
      <c r="G596" s="8" t="str">
        <f aca="false">IF($A596="","",IF(OR($F596="Past due",$F596="Due today",$F596="Spike"),$C596,0))</f>
        <v/>
      </c>
      <c r="H596" s="8" t="str">
        <f aca="false">IF($A596="","",SUBSTITUTE(SUBSTITUTE(SUBSTITUTE($A596&amp;"","~","~~"),"*","~*"),"?","~?"))</f>
        <v/>
      </c>
    </row>
    <row r="597" customFormat="false" ht="15" hidden="false" customHeight="false" outlineLevel="0" collapsed="false">
      <c r="A597" s="11"/>
      <c r="B597" s="6"/>
      <c r="C597" s="11"/>
      <c r="D597" s="11"/>
      <c r="E597" s="8" t="str">
        <f aca="false">IF($A597="","",SUMIFS($C:$C,$A:$A,$H597,$B:$B,"&gt;="&amp;INT($B597),$B:$B,"&lt;"&amp;(INT($B597)+1)))</f>
        <v/>
      </c>
      <c r="F597" s="19" t="str">
        <f aca="false">IF($A597="","",IF(ISNA(MATCH($H597,Buffers!$AE:$AE,0)),"Not on Buffers",IF(NOT(ISNUMBER($B597)),"Needs a date",IF(INT($B597)&lt;PlanDate,"Past due",IF(INT($B597)=PlanDate,"Due today",IF(AND(INDEX(Buffers!$L:$L,MATCH($H597,Buffers!$AE:$AE,0))="Planned",$E597&gt;0,INT($B597)&lt;=PlanDate+ROUNDUP(IF(ISNUMBER(SpikeHorizon),SpikeHorizon,INDEX(Buffers!$D:$D,MATCH($H597,Buffers!$AE:$AE,0))),0),$E597&gt;=SpikePct*INDEX(Buffers!$P:$P,MATCH($H597,Buffers!$AE:$AE,0))),"Spike","Not qualified"))))))</f>
        <v/>
      </c>
      <c r="G597" s="8" t="str">
        <f aca="false">IF($A597="","",IF(OR($F597="Past due",$F597="Due today",$F597="Spike"),$C597,0))</f>
        <v/>
      </c>
      <c r="H597" s="8" t="str">
        <f aca="false">IF($A597="","",SUBSTITUTE(SUBSTITUTE(SUBSTITUTE($A597&amp;"","~","~~"),"*","~*"),"?","~?"))</f>
        <v/>
      </c>
    </row>
    <row r="598" customFormat="false" ht="15" hidden="false" customHeight="false" outlineLevel="0" collapsed="false">
      <c r="A598" s="11"/>
      <c r="B598" s="6"/>
      <c r="C598" s="11"/>
      <c r="D598" s="11"/>
      <c r="E598" s="8" t="str">
        <f aca="false">IF($A598="","",SUMIFS($C:$C,$A:$A,$H598,$B:$B,"&gt;="&amp;INT($B598),$B:$B,"&lt;"&amp;(INT($B598)+1)))</f>
        <v/>
      </c>
      <c r="F598" s="19" t="str">
        <f aca="false">IF($A598="","",IF(ISNA(MATCH($H598,Buffers!$AE:$AE,0)),"Not on Buffers",IF(NOT(ISNUMBER($B598)),"Needs a date",IF(INT($B598)&lt;PlanDate,"Past due",IF(INT($B598)=PlanDate,"Due today",IF(AND(INDEX(Buffers!$L:$L,MATCH($H598,Buffers!$AE:$AE,0))="Planned",$E598&gt;0,INT($B598)&lt;=PlanDate+ROUNDUP(IF(ISNUMBER(SpikeHorizon),SpikeHorizon,INDEX(Buffers!$D:$D,MATCH($H598,Buffers!$AE:$AE,0))),0),$E598&gt;=SpikePct*INDEX(Buffers!$P:$P,MATCH($H598,Buffers!$AE:$AE,0))),"Spike","Not qualified"))))))</f>
        <v/>
      </c>
      <c r="G598" s="8" t="str">
        <f aca="false">IF($A598="","",IF(OR($F598="Past due",$F598="Due today",$F598="Spike"),$C598,0))</f>
        <v/>
      </c>
      <c r="H598" s="8" t="str">
        <f aca="false">IF($A598="","",SUBSTITUTE(SUBSTITUTE(SUBSTITUTE($A598&amp;"","~","~~"),"*","~*"),"?","~?"))</f>
        <v/>
      </c>
    </row>
    <row r="599" customFormat="false" ht="15" hidden="false" customHeight="false" outlineLevel="0" collapsed="false">
      <c r="A599" s="11"/>
      <c r="B599" s="6"/>
      <c r="C599" s="11"/>
      <c r="D599" s="11"/>
      <c r="E599" s="8" t="str">
        <f aca="false">IF($A599="","",SUMIFS($C:$C,$A:$A,$H599,$B:$B,"&gt;="&amp;INT($B599),$B:$B,"&lt;"&amp;(INT($B599)+1)))</f>
        <v/>
      </c>
      <c r="F599" s="19" t="str">
        <f aca="false">IF($A599="","",IF(ISNA(MATCH($H599,Buffers!$AE:$AE,0)),"Not on Buffers",IF(NOT(ISNUMBER($B599)),"Needs a date",IF(INT($B599)&lt;PlanDate,"Past due",IF(INT($B599)=PlanDate,"Due today",IF(AND(INDEX(Buffers!$L:$L,MATCH($H599,Buffers!$AE:$AE,0))="Planned",$E599&gt;0,INT($B599)&lt;=PlanDate+ROUNDUP(IF(ISNUMBER(SpikeHorizon),SpikeHorizon,INDEX(Buffers!$D:$D,MATCH($H599,Buffers!$AE:$AE,0))),0),$E599&gt;=SpikePct*INDEX(Buffers!$P:$P,MATCH($H599,Buffers!$AE:$AE,0))),"Spike","Not qualified"))))))</f>
        <v/>
      </c>
      <c r="G599" s="8" t="str">
        <f aca="false">IF($A599="","",IF(OR($F599="Past due",$F599="Due today",$F599="Spike"),$C599,0))</f>
        <v/>
      </c>
      <c r="H599" s="8" t="str">
        <f aca="false">IF($A599="","",SUBSTITUTE(SUBSTITUTE(SUBSTITUTE($A599&amp;"","~","~~"),"*","~*"),"?","~?"))</f>
        <v/>
      </c>
    </row>
    <row r="600" customFormat="false" ht="15" hidden="false" customHeight="false" outlineLevel="0" collapsed="false">
      <c r="A600" s="11"/>
      <c r="B600" s="6"/>
      <c r="C600" s="11"/>
      <c r="D600" s="11"/>
      <c r="E600" s="8" t="str">
        <f aca="false">IF($A600="","",SUMIFS($C:$C,$A:$A,$H600,$B:$B,"&gt;="&amp;INT($B600),$B:$B,"&lt;"&amp;(INT($B600)+1)))</f>
        <v/>
      </c>
      <c r="F600" s="19" t="str">
        <f aca="false">IF($A600="","",IF(ISNA(MATCH($H600,Buffers!$AE:$AE,0)),"Not on Buffers",IF(NOT(ISNUMBER($B600)),"Needs a date",IF(INT($B600)&lt;PlanDate,"Past due",IF(INT($B600)=PlanDate,"Due today",IF(AND(INDEX(Buffers!$L:$L,MATCH($H600,Buffers!$AE:$AE,0))="Planned",$E600&gt;0,INT($B600)&lt;=PlanDate+ROUNDUP(IF(ISNUMBER(SpikeHorizon),SpikeHorizon,INDEX(Buffers!$D:$D,MATCH($H600,Buffers!$AE:$AE,0))),0),$E600&gt;=SpikePct*INDEX(Buffers!$P:$P,MATCH($H600,Buffers!$AE:$AE,0))),"Spike","Not qualified"))))))</f>
        <v/>
      </c>
      <c r="G600" s="8" t="str">
        <f aca="false">IF($A600="","",IF(OR($F600="Past due",$F600="Due today",$F600="Spike"),$C600,0))</f>
        <v/>
      </c>
      <c r="H600" s="8" t="str">
        <f aca="false">IF($A600="","",SUBSTITUTE(SUBSTITUTE(SUBSTITUTE($A600&amp;"","~","~~"),"*","~*"),"?","~?"))</f>
        <v/>
      </c>
    </row>
    <row r="601" customFormat="false" ht="15" hidden="false" customHeight="false" outlineLevel="0" collapsed="false">
      <c r="A601" s="11"/>
      <c r="B601" s="6"/>
      <c r="C601" s="11"/>
      <c r="D601" s="11"/>
      <c r="E601" s="8" t="str">
        <f aca="false">IF($A601="","",SUMIFS($C:$C,$A:$A,$H601,$B:$B,"&gt;="&amp;INT($B601),$B:$B,"&lt;"&amp;(INT($B601)+1)))</f>
        <v/>
      </c>
      <c r="F601" s="19" t="str">
        <f aca="false">IF($A601="","",IF(ISNA(MATCH($H601,Buffers!$AE:$AE,0)),"Not on Buffers",IF(NOT(ISNUMBER($B601)),"Needs a date",IF(INT($B601)&lt;PlanDate,"Past due",IF(INT($B601)=PlanDate,"Due today",IF(AND(INDEX(Buffers!$L:$L,MATCH($H601,Buffers!$AE:$AE,0))="Planned",$E601&gt;0,INT($B601)&lt;=PlanDate+ROUNDUP(IF(ISNUMBER(SpikeHorizon),SpikeHorizon,INDEX(Buffers!$D:$D,MATCH($H601,Buffers!$AE:$AE,0))),0),$E601&gt;=SpikePct*INDEX(Buffers!$P:$P,MATCH($H601,Buffers!$AE:$AE,0))),"Spike","Not qualified"))))))</f>
        <v/>
      </c>
      <c r="G601" s="8" t="str">
        <f aca="false">IF($A601="","",IF(OR($F601="Past due",$F601="Due today",$F601="Spike"),$C601,0))</f>
        <v/>
      </c>
      <c r="H601" s="8" t="str">
        <f aca="false">IF($A601="","",SUBSTITUTE(SUBSTITUTE(SUBSTITUTE($A601&amp;"","~","~~"),"*","~*"),"?","~?"))</f>
        <v/>
      </c>
    </row>
    <row r="602" customFormat="false" ht="15" hidden="false" customHeight="false" outlineLevel="0" collapsed="false">
      <c r="A602" s="11"/>
      <c r="B602" s="6"/>
      <c r="C602" s="11"/>
      <c r="D602" s="11"/>
      <c r="E602" s="8" t="str">
        <f aca="false">IF($A602="","",SUMIFS($C:$C,$A:$A,$H602,$B:$B,"&gt;="&amp;INT($B602),$B:$B,"&lt;"&amp;(INT($B602)+1)))</f>
        <v/>
      </c>
      <c r="F602" s="19" t="str">
        <f aca="false">IF($A602="","",IF(ISNA(MATCH($H602,Buffers!$AE:$AE,0)),"Not on Buffers",IF(NOT(ISNUMBER($B602)),"Needs a date",IF(INT($B602)&lt;PlanDate,"Past due",IF(INT($B602)=PlanDate,"Due today",IF(AND(INDEX(Buffers!$L:$L,MATCH($H602,Buffers!$AE:$AE,0))="Planned",$E602&gt;0,INT($B602)&lt;=PlanDate+ROUNDUP(IF(ISNUMBER(SpikeHorizon),SpikeHorizon,INDEX(Buffers!$D:$D,MATCH($H602,Buffers!$AE:$AE,0))),0),$E602&gt;=SpikePct*INDEX(Buffers!$P:$P,MATCH($H602,Buffers!$AE:$AE,0))),"Spike","Not qualified"))))))</f>
        <v/>
      </c>
      <c r="G602" s="8" t="str">
        <f aca="false">IF($A602="","",IF(OR($F602="Past due",$F602="Due today",$F602="Spike"),$C602,0))</f>
        <v/>
      </c>
      <c r="H602" s="8" t="str">
        <f aca="false">IF($A602="","",SUBSTITUTE(SUBSTITUTE(SUBSTITUTE($A602&amp;"","~","~~"),"*","~*"),"?","~?"))</f>
        <v/>
      </c>
    </row>
    <row r="603" customFormat="false" ht="15" hidden="false" customHeight="false" outlineLevel="0" collapsed="false">
      <c r="A603" s="11"/>
      <c r="B603" s="6"/>
      <c r="C603" s="11"/>
      <c r="D603" s="11"/>
      <c r="E603" s="8" t="str">
        <f aca="false">IF($A603="","",SUMIFS($C:$C,$A:$A,$H603,$B:$B,"&gt;="&amp;INT($B603),$B:$B,"&lt;"&amp;(INT($B603)+1)))</f>
        <v/>
      </c>
      <c r="F603" s="19" t="str">
        <f aca="false">IF($A603="","",IF(ISNA(MATCH($H603,Buffers!$AE:$AE,0)),"Not on Buffers",IF(NOT(ISNUMBER($B603)),"Needs a date",IF(INT($B603)&lt;PlanDate,"Past due",IF(INT($B603)=PlanDate,"Due today",IF(AND(INDEX(Buffers!$L:$L,MATCH($H603,Buffers!$AE:$AE,0))="Planned",$E603&gt;0,INT($B603)&lt;=PlanDate+ROUNDUP(IF(ISNUMBER(SpikeHorizon),SpikeHorizon,INDEX(Buffers!$D:$D,MATCH($H603,Buffers!$AE:$AE,0))),0),$E603&gt;=SpikePct*INDEX(Buffers!$P:$P,MATCH($H603,Buffers!$AE:$AE,0))),"Spike","Not qualified"))))))</f>
        <v/>
      </c>
      <c r="G603" s="8" t="str">
        <f aca="false">IF($A603="","",IF(OR($F603="Past due",$F603="Due today",$F603="Spike"),$C603,0))</f>
        <v/>
      </c>
      <c r="H603" s="8" t="str">
        <f aca="false">IF($A603="","",SUBSTITUTE(SUBSTITUTE(SUBSTITUTE($A603&amp;"","~","~~"),"*","~*"),"?","~?"))</f>
        <v/>
      </c>
    </row>
    <row r="604" customFormat="false" ht="15" hidden="false" customHeight="false" outlineLevel="0" collapsed="false">
      <c r="A604" s="11"/>
      <c r="B604" s="6"/>
      <c r="C604" s="11"/>
      <c r="D604" s="11"/>
      <c r="E604" s="8" t="str">
        <f aca="false">IF($A604="","",SUMIFS($C:$C,$A:$A,$H604,$B:$B,"&gt;="&amp;INT($B604),$B:$B,"&lt;"&amp;(INT($B604)+1)))</f>
        <v/>
      </c>
      <c r="F604" s="19" t="str">
        <f aca="false">IF($A604="","",IF(ISNA(MATCH($H604,Buffers!$AE:$AE,0)),"Not on Buffers",IF(NOT(ISNUMBER($B604)),"Needs a date",IF(INT($B604)&lt;PlanDate,"Past due",IF(INT($B604)=PlanDate,"Due today",IF(AND(INDEX(Buffers!$L:$L,MATCH($H604,Buffers!$AE:$AE,0))="Planned",$E604&gt;0,INT($B604)&lt;=PlanDate+ROUNDUP(IF(ISNUMBER(SpikeHorizon),SpikeHorizon,INDEX(Buffers!$D:$D,MATCH($H604,Buffers!$AE:$AE,0))),0),$E604&gt;=SpikePct*INDEX(Buffers!$P:$P,MATCH($H604,Buffers!$AE:$AE,0))),"Spike","Not qualified"))))))</f>
        <v/>
      </c>
      <c r="G604" s="8" t="str">
        <f aca="false">IF($A604="","",IF(OR($F604="Past due",$F604="Due today",$F604="Spike"),$C604,0))</f>
        <v/>
      </c>
      <c r="H604" s="8" t="str">
        <f aca="false">IF($A604="","",SUBSTITUTE(SUBSTITUTE(SUBSTITUTE($A604&amp;"","~","~~"),"*","~*"),"?","~?"))</f>
        <v/>
      </c>
    </row>
    <row r="605" customFormat="false" ht="15" hidden="false" customHeight="false" outlineLevel="0" collapsed="false">
      <c r="A605" s="11"/>
      <c r="B605" s="6"/>
      <c r="C605" s="11"/>
      <c r="D605" s="11"/>
      <c r="E605" s="8" t="str">
        <f aca="false">IF($A605="","",SUMIFS($C:$C,$A:$A,$H605,$B:$B,"&gt;="&amp;INT($B605),$B:$B,"&lt;"&amp;(INT($B605)+1)))</f>
        <v/>
      </c>
      <c r="F605" s="19" t="str">
        <f aca="false">IF($A605="","",IF(ISNA(MATCH($H605,Buffers!$AE:$AE,0)),"Not on Buffers",IF(NOT(ISNUMBER($B605)),"Needs a date",IF(INT($B605)&lt;PlanDate,"Past due",IF(INT($B605)=PlanDate,"Due today",IF(AND(INDEX(Buffers!$L:$L,MATCH($H605,Buffers!$AE:$AE,0))="Planned",$E605&gt;0,INT($B605)&lt;=PlanDate+ROUNDUP(IF(ISNUMBER(SpikeHorizon),SpikeHorizon,INDEX(Buffers!$D:$D,MATCH($H605,Buffers!$AE:$AE,0))),0),$E605&gt;=SpikePct*INDEX(Buffers!$P:$P,MATCH($H605,Buffers!$AE:$AE,0))),"Spike","Not qualified"))))))</f>
        <v/>
      </c>
      <c r="G605" s="8" t="str">
        <f aca="false">IF($A605="","",IF(OR($F605="Past due",$F605="Due today",$F605="Spike"),$C605,0))</f>
        <v/>
      </c>
      <c r="H605" s="8" t="str">
        <f aca="false">IF($A605="","",SUBSTITUTE(SUBSTITUTE(SUBSTITUTE($A605&amp;"","~","~~"),"*","~*"),"?","~?"))</f>
        <v/>
      </c>
    </row>
    <row r="606" customFormat="false" ht="15" hidden="false" customHeight="false" outlineLevel="0" collapsed="false">
      <c r="A606" s="11"/>
      <c r="B606" s="6"/>
      <c r="C606" s="11"/>
      <c r="D606" s="11"/>
      <c r="E606" s="8" t="str">
        <f aca="false">IF($A606="","",SUMIFS($C:$C,$A:$A,$H606,$B:$B,"&gt;="&amp;INT($B606),$B:$B,"&lt;"&amp;(INT($B606)+1)))</f>
        <v/>
      </c>
      <c r="F606" s="19" t="str">
        <f aca="false">IF($A606="","",IF(ISNA(MATCH($H606,Buffers!$AE:$AE,0)),"Not on Buffers",IF(NOT(ISNUMBER($B606)),"Needs a date",IF(INT($B606)&lt;PlanDate,"Past due",IF(INT($B606)=PlanDate,"Due today",IF(AND(INDEX(Buffers!$L:$L,MATCH($H606,Buffers!$AE:$AE,0))="Planned",$E606&gt;0,INT($B606)&lt;=PlanDate+ROUNDUP(IF(ISNUMBER(SpikeHorizon),SpikeHorizon,INDEX(Buffers!$D:$D,MATCH($H606,Buffers!$AE:$AE,0))),0),$E606&gt;=SpikePct*INDEX(Buffers!$P:$P,MATCH($H606,Buffers!$AE:$AE,0))),"Spike","Not qualified"))))))</f>
        <v/>
      </c>
      <c r="G606" s="8" t="str">
        <f aca="false">IF($A606="","",IF(OR($F606="Past due",$F606="Due today",$F606="Spike"),$C606,0))</f>
        <v/>
      </c>
      <c r="H606" s="8" t="str">
        <f aca="false">IF($A606="","",SUBSTITUTE(SUBSTITUTE(SUBSTITUTE($A606&amp;"","~","~~"),"*","~*"),"?","~?"))</f>
        <v/>
      </c>
    </row>
    <row r="607" customFormat="false" ht="15" hidden="false" customHeight="false" outlineLevel="0" collapsed="false">
      <c r="A607" s="11"/>
      <c r="B607" s="6"/>
      <c r="C607" s="11"/>
      <c r="D607" s="11"/>
      <c r="E607" s="8" t="str">
        <f aca="false">IF($A607="","",SUMIFS($C:$C,$A:$A,$H607,$B:$B,"&gt;="&amp;INT($B607),$B:$B,"&lt;"&amp;(INT($B607)+1)))</f>
        <v/>
      </c>
      <c r="F607" s="19" t="str">
        <f aca="false">IF($A607="","",IF(ISNA(MATCH($H607,Buffers!$AE:$AE,0)),"Not on Buffers",IF(NOT(ISNUMBER($B607)),"Needs a date",IF(INT($B607)&lt;PlanDate,"Past due",IF(INT($B607)=PlanDate,"Due today",IF(AND(INDEX(Buffers!$L:$L,MATCH($H607,Buffers!$AE:$AE,0))="Planned",$E607&gt;0,INT($B607)&lt;=PlanDate+ROUNDUP(IF(ISNUMBER(SpikeHorizon),SpikeHorizon,INDEX(Buffers!$D:$D,MATCH($H607,Buffers!$AE:$AE,0))),0),$E607&gt;=SpikePct*INDEX(Buffers!$P:$P,MATCH($H607,Buffers!$AE:$AE,0))),"Spike","Not qualified"))))))</f>
        <v/>
      </c>
      <c r="G607" s="8" t="str">
        <f aca="false">IF($A607="","",IF(OR($F607="Past due",$F607="Due today",$F607="Spike"),$C607,0))</f>
        <v/>
      </c>
      <c r="H607" s="8" t="str">
        <f aca="false">IF($A607="","",SUBSTITUTE(SUBSTITUTE(SUBSTITUTE($A607&amp;"","~","~~"),"*","~*"),"?","~?"))</f>
        <v/>
      </c>
    </row>
    <row r="608" customFormat="false" ht="15" hidden="false" customHeight="false" outlineLevel="0" collapsed="false">
      <c r="A608" s="11"/>
      <c r="B608" s="6"/>
      <c r="C608" s="11"/>
      <c r="D608" s="11"/>
      <c r="E608" s="8" t="str">
        <f aca="false">IF($A608="","",SUMIFS($C:$C,$A:$A,$H608,$B:$B,"&gt;="&amp;INT($B608),$B:$B,"&lt;"&amp;(INT($B608)+1)))</f>
        <v/>
      </c>
      <c r="F608" s="19" t="str">
        <f aca="false">IF($A608="","",IF(ISNA(MATCH($H608,Buffers!$AE:$AE,0)),"Not on Buffers",IF(NOT(ISNUMBER($B608)),"Needs a date",IF(INT($B608)&lt;PlanDate,"Past due",IF(INT($B608)=PlanDate,"Due today",IF(AND(INDEX(Buffers!$L:$L,MATCH($H608,Buffers!$AE:$AE,0))="Planned",$E608&gt;0,INT($B608)&lt;=PlanDate+ROUNDUP(IF(ISNUMBER(SpikeHorizon),SpikeHorizon,INDEX(Buffers!$D:$D,MATCH($H608,Buffers!$AE:$AE,0))),0),$E608&gt;=SpikePct*INDEX(Buffers!$P:$P,MATCH($H608,Buffers!$AE:$AE,0))),"Spike","Not qualified"))))))</f>
        <v/>
      </c>
      <c r="G608" s="8" t="str">
        <f aca="false">IF($A608="","",IF(OR($F608="Past due",$F608="Due today",$F608="Spike"),$C608,0))</f>
        <v/>
      </c>
      <c r="H608" s="8" t="str">
        <f aca="false">IF($A608="","",SUBSTITUTE(SUBSTITUTE(SUBSTITUTE($A608&amp;"","~","~~"),"*","~*"),"?","~?"))</f>
        <v/>
      </c>
    </row>
    <row r="609" customFormat="false" ht="15" hidden="false" customHeight="false" outlineLevel="0" collapsed="false">
      <c r="A609" s="11"/>
      <c r="B609" s="6"/>
      <c r="C609" s="11"/>
      <c r="D609" s="11"/>
      <c r="E609" s="8" t="str">
        <f aca="false">IF($A609="","",SUMIFS($C:$C,$A:$A,$H609,$B:$B,"&gt;="&amp;INT($B609),$B:$B,"&lt;"&amp;(INT($B609)+1)))</f>
        <v/>
      </c>
      <c r="F609" s="19" t="str">
        <f aca="false">IF($A609="","",IF(ISNA(MATCH($H609,Buffers!$AE:$AE,0)),"Not on Buffers",IF(NOT(ISNUMBER($B609)),"Needs a date",IF(INT($B609)&lt;PlanDate,"Past due",IF(INT($B609)=PlanDate,"Due today",IF(AND(INDEX(Buffers!$L:$L,MATCH($H609,Buffers!$AE:$AE,0))="Planned",$E609&gt;0,INT($B609)&lt;=PlanDate+ROUNDUP(IF(ISNUMBER(SpikeHorizon),SpikeHorizon,INDEX(Buffers!$D:$D,MATCH($H609,Buffers!$AE:$AE,0))),0),$E609&gt;=SpikePct*INDEX(Buffers!$P:$P,MATCH($H609,Buffers!$AE:$AE,0))),"Spike","Not qualified"))))))</f>
        <v/>
      </c>
      <c r="G609" s="8" t="str">
        <f aca="false">IF($A609="","",IF(OR($F609="Past due",$F609="Due today",$F609="Spike"),$C609,0))</f>
        <v/>
      </c>
      <c r="H609" s="8" t="str">
        <f aca="false">IF($A609="","",SUBSTITUTE(SUBSTITUTE(SUBSTITUTE($A609&amp;"","~","~~"),"*","~*"),"?","~?"))</f>
        <v/>
      </c>
    </row>
    <row r="610" customFormat="false" ht="15" hidden="false" customHeight="false" outlineLevel="0" collapsed="false">
      <c r="A610" s="11"/>
      <c r="B610" s="6"/>
      <c r="C610" s="11"/>
      <c r="D610" s="11"/>
      <c r="E610" s="8" t="str">
        <f aca="false">IF($A610="","",SUMIFS($C:$C,$A:$A,$H610,$B:$B,"&gt;="&amp;INT($B610),$B:$B,"&lt;"&amp;(INT($B610)+1)))</f>
        <v/>
      </c>
      <c r="F610" s="19" t="str">
        <f aca="false">IF($A610="","",IF(ISNA(MATCH($H610,Buffers!$AE:$AE,0)),"Not on Buffers",IF(NOT(ISNUMBER($B610)),"Needs a date",IF(INT($B610)&lt;PlanDate,"Past due",IF(INT($B610)=PlanDate,"Due today",IF(AND(INDEX(Buffers!$L:$L,MATCH($H610,Buffers!$AE:$AE,0))="Planned",$E610&gt;0,INT($B610)&lt;=PlanDate+ROUNDUP(IF(ISNUMBER(SpikeHorizon),SpikeHorizon,INDEX(Buffers!$D:$D,MATCH($H610,Buffers!$AE:$AE,0))),0),$E610&gt;=SpikePct*INDEX(Buffers!$P:$P,MATCH($H610,Buffers!$AE:$AE,0))),"Spike","Not qualified"))))))</f>
        <v/>
      </c>
      <c r="G610" s="8" t="str">
        <f aca="false">IF($A610="","",IF(OR($F610="Past due",$F610="Due today",$F610="Spike"),$C610,0))</f>
        <v/>
      </c>
      <c r="H610" s="8" t="str">
        <f aca="false">IF($A610="","",SUBSTITUTE(SUBSTITUTE(SUBSTITUTE($A610&amp;"","~","~~"),"*","~*"),"?","~?"))</f>
        <v/>
      </c>
    </row>
    <row r="611" customFormat="false" ht="15" hidden="false" customHeight="false" outlineLevel="0" collapsed="false">
      <c r="A611" s="11"/>
      <c r="B611" s="6"/>
      <c r="C611" s="11"/>
      <c r="D611" s="11"/>
      <c r="E611" s="8" t="str">
        <f aca="false">IF($A611="","",SUMIFS($C:$C,$A:$A,$H611,$B:$B,"&gt;="&amp;INT($B611),$B:$B,"&lt;"&amp;(INT($B611)+1)))</f>
        <v/>
      </c>
      <c r="F611" s="19" t="str">
        <f aca="false">IF($A611="","",IF(ISNA(MATCH($H611,Buffers!$AE:$AE,0)),"Not on Buffers",IF(NOT(ISNUMBER($B611)),"Needs a date",IF(INT($B611)&lt;PlanDate,"Past due",IF(INT($B611)=PlanDate,"Due today",IF(AND(INDEX(Buffers!$L:$L,MATCH($H611,Buffers!$AE:$AE,0))="Planned",$E611&gt;0,INT($B611)&lt;=PlanDate+ROUNDUP(IF(ISNUMBER(SpikeHorizon),SpikeHorizon,INDEX(Buffers!$D:$D,MATCH($H611,Buffers!$AE:$AE,0))),0),$E611&gt;=SpikePct*INDEX(Buffers!$P:$P,MATCH($H611,Buffers!$AE:$AE,0))),"Spike","Not qualified"))))))</f>
        <v/>
      </c>
      <c r="G611" s="8" t="str">
        <f aca="false">IF($A611="","",IF(OR($F611="Past due",$F611="Due today",$F611="Spike"),$C611,0))</f>
        <v/>
      </c>
      <c r="H611" s="8" t="str">
        <f aca="false">IF($A611="","",SUBSTITUTE(SUBSTITUTE(SUBSTITUTE($A611&amp;"","~","~~"),"*","~*"),"?","~?"))</f>
        <v/>
      </c>
    </row>
    <row r="612" customFormat="false" ht="15" hidden="false" customHeight="false" outlineLevel="0" collapsed="false">
      <c r="A612" s="11"/>
      <c r="B612" s="6"/>
      <c r="C612" s="11"/>
      <c r="D612" s="11"/>
      <c r="E612" s="8" t="str">
        <f aca="false">IF($A612="","",SUMIFS($C:$C,$A:$A,$H612,$B:$B,"&gt;="&amp;INT($B612),$B:$B,"&lt;"&amp;(INT($B612)+1)))</f>
        <v/>
      </c>
      <c r="F612" s="19" t="str">
        <f aca="false">IF($A612="","",IF(ISNA(MATCH($H612,Buffers!$AE:$AE,0)),"Not on Buffers",IF(NOT(ISNUMBER($B612)),"Needs a date",IF(INT($B612)&lt;PlanDate,"Past due",IF(INT($B612)=PlanDate,"Due today",IF(AND(INDEX(Buffers!$L:$L,MATCH($H612,Buffers!$AE:$AE,0))="Planned",$E612&gt;0,INT($B612)&lt;=PlanDate+ROUNDUP(IF(ISNUMBER(SpikeHorizon),SpikeHorizon,INDEX(Buffers!$D:$D,MATCH($H612,Buffers!$AE:$AE,0))),0),$E612&gt;=SpikePct*INDEX(Buffers!$P:$P,MATCH($H612,Buffers!$AE:$AE,0))),"Spike","Not qualified"))))))</f>
        <v/>
      </c>
      <c r="G612" s="8" t="str">
        <f aca="false">IF($A612="","",IF(OR($F612="Past due",$F612="Due today",$F612="Spike"),$C612,0))</f>
        <v/>
      </c>
      <c r="H612" s="8" t="str">
        <f aca="false">IF($A612="","",SUBSTITUTE(SUBSTITUTE(SUBSTITUTE($A612&amp;"","~","~~"),"*","~*"),"?","~?"))</f>
        <v/>
      </c>
    </row>
    <row r="613" customFormat="false" ht="15" hidden="false" customHeight="false" outlineLevel="0" collapsed="false">
      <c r="A613" s="11"/>
      <c r="B613" s="6"/>
      <c r="C613" s="11"/>
      <c r="D613" s="11"/>
      <c r="E613" s="8" t="str">
        <f aca="false">IF($A613="","",SUMIFS($C:$C,$A:$A,$H613,$B:$B,"&gt;="&amp;INT($B613),$B:$B,"&lt;"&amp;(INT($B613)+1)))</f>
        <v/>
      </c>
      <c r="F613" s="19" t="str">
        <f aca="false">IF($A613="","",IF(ISNA(MATCH($H613,Buffers!$AE:$AE,0)),"Not on Buffers",IF(NOT(ISNUMBER($B613)),"Needs a date",IF(INT($B613)&lt;PlanDate,"Past due",IF(INT($B613)=PlanDate,"Due today",IF(AND(INDEX(Buffers!$L:$L,MATCH($H613,Buffers!$AE:$AE,0))="Planned",$E613&gt;0,INT($B613)&lt;=PlanDate+ROUNDUP(IF(ISNUMBER(SpikeHorizon),SpikeHorizon,INDEX(Buffers!$D:$D,MATCH($H613,Buffers!$AE:$AE,0))),0),$E613&gt;=SpikePct*INDEX(Buffers!$P:$P,MATCH($H613,Buffers!$AE:$AE,0))),"Spike","Not qualified"))))))</f>
        <v/>
      </c>
      <c r="G613" s="8" t="str">
        <f aca="false">IF($A613="","",IF(OR($F613="Past due",$F613="Due today",$F613="Spike"),$C613,0))</f>
        <v/>
      </c>
      <c r="H613" s="8" t="str">
        <f aca="false">IF($A613="","",SUBSTITUTE(SUBSTITUTE(SUBSTITUTE($A613&amp;"","~","~~"),"*","~*"),"?","~?"))</f>
        <v/>
      </c>
    </row>
    <row r="614" customFormat="false" ht="15" hidden="false" customHeight="false" outlineLevel="0" collapsed="false">
      <c r="A614" s="11"/>
      <c r="B614" s="6"/>
      <c r="C614" s="11"/>
      <c r="D614" s="11"/>
      <c r="E614" s="8" t="str">
        <f aca="false">IF($A614="","",SUMIFS($C:$C,$A:$A,$H614,$B:$B,"&gt;="&amp;INT($B614),$B:$B,"&lt;"&amp;(INT($B614)+1)))</f>
        <v/>
      </c>
      <c r="F614" s="19" t="str">
        <f aca="false">IF($A614="","",IF(ISNA(MATCH($H614,Buffers!$AE:$AE,0)),"Not on Buffers",IF(NOT(ISNUMBER($B614)),"Needs a date",IF(INT($B614)&lt;PlanDate,"Past due",IF(INT($B614)=PlanDate,"Due today",IF(AND(INDEX(Buffers!$L:$L,MATCH($H614,Buffers!$AE:$AE,0))="Planned",$E614&gt;0,INT($B614)&lt;=PlanDate+ROUNDUP(IF(ISNUMBER(SpikeHorizon),SpikeHorizon,INDEX(Buffers!$D:$D,MATCH($H614,Buffers!$AE:$AE,0))),0),$E614&gt;=SpikePct*INDEX(Buffers!$P:$P,MATCH($H614,Buffers!$AE:$AE,0))),"Spike","Not qualified"))))))</f>
        <v/>
      </c>
      <c r="G614" s="8" t="str">
        <f aca="false">IF($A614="","",IF(OR($F614="Past due",$F614="Due today",$F614="Spike"),$C614,0))</f>
        <v/>
      </c>
      <c r="H614" s="8" t="str">
        <f aca="false">IF($A614="","",SUBSTITUTE(SUBSTITUTE(SUBSTITUTE($A614&amp;"","~","~~"),"*","~*"),"?","~?"))</f>
        <v/>
      </c>
    </row>
    <row r="615" customFormat="false" ht="15" hidden="false" customHeight="false" outlineLevel="0" collapsed="false">
      <c r="A615" s="11"/>
      <c r="B615" s="6"/>
      <c r="C615" s="11"/>
      <c r="D615" s="11"/>
      <c r="E615" s="8" t="str">
        <f aca="false">IF($A615="","",SUMIFS($C:$C,$A:$A,$H615,$B:$B,"&gt;="&amp;INT($B615),$B:$B,"&lt;"&amp;(INT($B615)+1)))</f>
        <v/>
      </c>
      <c r="F615" s="19" t="str">
        <f aca="false">IF($A615="","",IF(ISNA(MATCH($H615,Buffers!$AE:$AE,0)),"Not on Buffers",IF(NOT(ISNUMBER($B615)),"Needs a date",IF(INT($B615)&lt;PlanDate,"Past due",IF(INT($B615)=PlanDate,"Due today",IF(AND(INDEX(Buffers!$L:$L,MATCH($H615,Buffers!$AE:$AE,0))="Planned",$E615&gt;0,INT($B615)&lt;=PlanDate+ROUNDUP(IF(ISNUMBER(SpikeHorizon),SpikeHorizon,INDEX(Buffers!$D:$D,MATCH($H615,Buffers!$AE:$AE,0))),0),$E615&gt;=SpikePct*INDEX(Buffers!$P:$P,MATCH($H615,Buffers!$AE:$AE,0))),"Spike","Not qualified"))))))</f>
        <v/>
      </c>
      <c r="G615" s="8" t="str">
        <f aca="false">IF($A615="","",IF(OR($F615="Past due",$F615="Due today",$F615="Spike"),$C615,0))</f>
        <v/>
      </c>
      <c r="H615" s="8" t="str">
        <f aca="false">IF($A615="","",SUBSTITUTE(SUBSTITUTE(SUBSTITUTE($A615&amp;"","~","~~"),"*","~*"),"?","~?"))</f>
        <v/>
      </c>
    </row>
    <row r="616" customFormat="false" ht="15" hidden="false" customHeight="false" outlineLevel="0" collapsed="false">
      <c r="A616" s="11"/>
      <c r="B616" s="6"/>
      <c r="C616" s="11"/>
      <c r="D616" s="11"/>
      <c r="E616" s="8" t="str">
        <f aca="false">IF($A616="","",SUMIFS($C:$C,$A:$A,$H616,$B:$B,"&gt;="&amp;INT($B616),$B:$B,"&lt;"&amp;(INT($B616)+1)))</f>
        <v/>
      </c>
      <c r="F616" s="19" t="str">
        <f aca="false">IF($A616="","",IF(ISNA(MATCH($H616,Buffers!$AE:$AE,0)),"Not on Buffers",IF(NOT(ISNUMBER($B616)),"Needs a date",IF(INT($B616)&lt;PlanDate,"Past due",IF(INT($B616)=PlanDate,"Due today",IF(AND(INDEX(Buffers!$L:$L,MATCH($H616,Buffers!$AE:$AE,0))="Planned",$E616&gt;0,INT($B616)&lt;=PlanDate+ROUNDUP(IF(ISNUMBER(SpikeHorizon),SpikeHorizon,INDEX(Buffers!$D:$D,MATCH($H616,Buffers!$AE:$AE,0))),0),$E616&gt;=SpikePct*INDEX(Buffers!$P:$P,MATCH($H616,Buffers!$AE:$AE,0))),"Spike","Not qualified"))))))</f>
        <v/>
      </c>
      <c r="G616" s="8" t="str">
        <f aca="false">IF($A616="","",IF(OR($F616="Past due",$F616="Due today",$F616="Spike"),$C616,0))</f>
        <v/>
      </c>
      <c r="H616" s="8" t="str">
        <f aca="false">IF($A616="","",SUBSTITUTE(SUBSTITUTE(SUBSTITUTE($A616&amp;"","~","~~"),"*","~*"),"?","~?"))</f>
        <v/>
      </c>
    </row>
    <row r="617" customFormat="false" ht="15" hidden="false" customHeight="false" outlineLevel="0" collapsed="false">
      <c r="A617" s="11"/>
      <c r="B617" s="6"/>
      <c r="C617" s="11"/>
      <c r="D617" s="11"/>
      <c r="E617" s="8" t="str">
        <f aca="false">IF($A617="","",SUMIFS($C:$C,$A:$A,$H617,$B:$B,"&gt;="&amp;INT($B617),$B:$B,"&lt;"&amp;(INT($B617)+1)))</f>
        <v/>
      </c>
      <c r="F617" s="19" t="str">
        <f aca="false">IF($A617="","",IF(ISNA(MATCH($H617,Buffers!$AE:$AE,0)),"Not on Buffers",IF(NOT(ISNUMBER($B617)),"Needs a date",IF(INT($B617)&lt;PlanDate,"Past due",IF(INT($B617)=PlanDate,"Due today",IF(AND(INDEX(Buffers!$L:$L,MATCH($H617,Buffers!$AE:$AE,0))="Planned",$E617&gt;0,INT($B617)&lt;=PlanDate+ROUNDUP(IF(ISNUMBER(SpikeHorizon),SpikeHorizon,INDEX(Buffers!$D:$D,MATCH($H617,Buffers!$AE:$AE,0))),0),$E617&gt;=SpikePct*INDEX(Buffers!$P:$P,MATCH($H617,Buffers!$AE:$AE,0))),"Spike","Not qualified"))))))</f>
        <v/>
      </c>
      <c r="G617" s="8" t="str">
        <f aca="false">IF($A617="","",IF(OR($F617="Past due",$F617="Due today",$F617="Spike"),$C617,0))</f>
        <v/>
      </c>
      <c r="H617" s="8" t="str">
        <f aca="false">IF($A617="","",SUBSTITUTE(SUBSTITUTE(SUBSTITUTE($A617&amp;"","~","~~"),"*","~*"),"?","~?"))</f>
        <v/>
      </c>
    </row>
    <row r="618" customFormat="false" ht="15" hidden="false" customHeight="false" outlineLevel="0" collapsed="false">
      <c r="A618" s="11"/>
      <c r="B618" s="6"/>
      <c r="C618" s="11"/>
      <c r="D618" s="11"/>
      <c r="E618" s="8" t="str">
        <f aca="false">IF($A618="","",SUMIFS($C:$C,$A:$A,$H618,$B:$B,"&gt;="&amp;INT($B618),$B:$B,"&lt;"&amp;(INT($B618)+1)))</f>
        <v/>
      </c>
      <c r="F618" s="19" t="str">
        <f aca="false">IF($A618="","",IF(ISNA(MATCH($H618,Buffers!$AE:$AE,0)),"Not on Buffers",IF(NOT(ISNUMBER($B618)),"Needs a date",IF(INT($B618)&lt;PlanDate,"Past due",IF(INT($B618)=PlanDate,"Due today",IF(AND(INDEX(Buffers!$L:$L,MATCH($H618,Buffers!$AE:$AE,0))="Planned",$E618&gt;0,INT($B618)&lt;=PlanDate+ROUNDUP(IF(ISNUMBER(SpikeHorizon),SpikeHorizon,INDEX(Buffers!$D:$D,MATCH($H618,Buffers!$AE:$AE,0))),0),$E618&gt;=SpikePct*INDEX(Buffers!$P:$P,MATCH($H618,Buffers!$AE:$AE,0))),"Spike","Not qualified"))))))</f>
        <v/>
      </c>
      <c r="G618" s="8" t="str">
        <f aca="false">IF($A618="","",IF(OR($F618="Past due",$F618="Due today",$F618="Spike"),$C618,0))</f>
        <v/>
      </c>
      <c r="H618" s="8" t="str">
        <f aca="false">IF($A618="","",SUBSTITUTE(SUBSTITUTE(SUBSTITUTE($A618&amp;"","~","~~"),"*","~*"),"?","~?"))</f>
        <v/>
      </c>
    </row>
    <row r="619" customFormat="false" ht="15" hidden="false" customHeight="false" outlineLevel="0" collapsed="false">
      <c r="A619" s="11"/>
      <c r="B619" s="6"/>
      <c r="C619" s="11"/>
      <c r="D619" s="11"/>
      <c r="E619" s="8" t="str">
        <f aca="false">IF($A619="","",SUMIFS($C:$C,$A:$A,$H619,$B:$B,"&gt;="&amp;INT($B619),$B:$B,"&lt;"&amp;(INT($B619)+1)))</f>
        <v/>
      </c>
      <c r="F619" s="19" t="str">
        <f aca="false">IF($A619="","",IF(ISNA(MATCH($H619,Buffers!$AE:$AE,0)),"Not on Buffers",IF(NOT(ISNUMBER($B619)),"Needs a date",IF(INT($B619)&lt;PlanDate,"Past due",IF(INT($B619)=PlanDate,"Due today",IF(AND(INDEX(Buffers!$L:$L,MATCH($H619,Buffers!$AE:$AE,0))="Planned",$E619&gt;0,INT($B619)&lt;=PlanDate+ROUNDUP(IF(ISNUMBER(SpikeHorizon),SpikeHorizon,INDEX(Buffers!$D:$D,MATCH($H619,Buffers!$AE:$AE,0))),0),$E619&gt;=SpikePct*INDEX(Buffers!$P:$P,MATCH($H619,Buffers!$AE:$AE,0))),"Spike","Not qualified"))))))</f>
        <v/>
      </c>
      <c r="G619" s="8" t="str">
        <f aca="false">IF($A619="","",IF(OR($F619="Past due",$F619="Due today",$F619="Spike"),$C619,0))</f>
        <v/>
      </c>
      <c r="H619" s="8" t="str">
        <f aca="false">IF($A619="","",SUBSTITUTE(SUBSTITUTE(SUBSTITUTE($A619&amp;"","~","~~"),"*","~*"),"?","~?"))</f>
        <v/>
      </c>
    </row>
    <row r="620" customFormat="false" ht="15" hidden="false" customHeight="false" outlineLevel="0" collapsed="false">
      <c r="A620" s="11"/>
      <c r="B620" s="6"/>
      <c r="C620" s="11"/>
      <c r="D620" s="11"/>
      <c r="E620" s="8" t="str">
        <f aca="false">IF($A620="","",SUMIFS($C:$C,$A:$A,$H620,$B:$B,"&gt;="&amp;INT($B620),$B:$B,"&lt;"&amp;(INT($B620)+1)))</f>
        <v/>
      </c>
      <c r="F620" s="19" t="str">
        <f aca="false">IF($A620="","",IF(ISNA(MATCH($H620,Buffers!$AE:$AE,0)),"Not on Buffers",IF(NOT(ISNUMBER($B620)),"Needs a date",IF(INT($B620)&lt;PlanDate,"Past due",IF(INT($B620)=PlanDate,"Due today",IF(AND(INDEX(Buffers!$L:$L,MATCH($H620,Buffers!$AE:$AE,0))="Planned",$E620&gt;0,INT($B620)&lt;=PlanDate+ROUNDUP(IF(ISNUMBER(SpikeHorizon),SpikeHorizon,INDEX(Buffers!$D:$D,MATCH($H620,Buffers!$AE:$AE,0))),0),$E620&gt;=SpikePct*INDEX(Buffers!$P:$P,MATCH($H620,Buffers!$AE:$AE,0))),"Spike","Not qualified"))))))</f>
        <v/>
      </c>
      <c r="G620" s="8" t="str">
        <f aca="false">IF($A620="","",IF(OR($F620="Past due",$F620="Due today",$F620="Spike"),$C620,0))</f>
        <v/>
      </c>
      <c r="H620" s="8" t="str">
        <f aca="false">IF($A620="","",SUBSTITUTE(SUBSTITUTE(SUBSTITUTE($A620&amp;"","~","~~"),"*","~*"),"?","~?"))</f>
        <v/>
      </c>
    </row>
    <row r="621" customFormat="false" ht="15" hidden="false" customHeight="false" outlineLevel="0" collapsed="false">
      <c r="A621" s="11"/>
      <c r="B621" s="6"/>
      <c r="C621" s="11"/>
      <c r="D621" s="11"/>
      <c r="E621" s="8" t="str">
        <f aca="false">IF($A621="","",SUMIFS($C:$C,$A:$A,$H621,$B:$B,"&gt;="&amp;INT($B621),$B:$B,"&lt;"&amp;(INT($B621)+1)))</f>
        <v/>
      </c>
      <c r="F621" s="19" t="str">
        <f aca="false">IF($A621="","",IF(ISNA(MATCH($H621,Buffers!$AE:$AE,0)),"Not on Buffers",IF(NOT(ISNUMBER($B621)),"Needs a date",IF(INT($B621)&lt;PlanDate,"Past due",IF(INT($B621)=PlanDate,"Due today",IF(AND(INDEX(Buffers!$L:$L,MATCH($H621,Buffers!$AE:$AE,0))="Planned",$E621&gt;0,INT($B621)&lt;=PlanDate+ROUNDUP(IF(ISNUMBER(SpikeHorizon),SpikeHorizon,INDEX(Buffers!$D:$D,MATCH($H621,Buffers!$AE:$AE,0))),0),$E621&gt;=SpikePct*INDEX(Buffers!$P:$P,MATCH($H621,Buffers!$AE:$AE,0))),"Spike","Not qualified"))))))</f>
        <v/>
      </c>
      <c r="G621" s="8" t="str">
        <f aca="false">IF($A621="","",IF(OR($F621="Past due",$F621="Due today",$F621="Spike"),$C621,0))</f>
        <v/>
      </c>
      <c r="H621" s="8" t="str">
        <f aca="false">IF($A621="","",SUBSTITUTE(SUBSTITUTE(SUBSTITUTE($A621&amp;"","~","~~"),"*","~*"),"?","~?"))</f>
        <v/>
      </c>
    </row>
    <row r="622" customFormat="false" ht="15" hidden="false" customHeight="false" outlineLevel="0" collapsed="false">
      <c r="A622" s="11"/>
      <c r="B622" s="6"/>
      <c r="C622" s="11"/>
      <c r="D622" s="11"/>
      <c r="E622" s="8" t="str">
        <f aca="false">IF($A622="","",SUMIFS($C:$C,$A:$A,$H622,$B:$B,"&gt;="&amp;INT($B622),$B:$B,"&lt;"&amp;(INT($B622)+1)))</f>
        <v/>
      </c>
      <c r="F622" s="19" t="str">
        <f aca="false">IF($A622="","",IF(ISNA(MATCH($H622,Buffers!$AE:$AE,0)),"Not on Buffers",IF(NOT(ISNUMBER($B622)),"Needs a date",IF(INT($B622)&lt;PlanDate,"Past due",IF(INT($B622)=PlanDate,"Due today",IF(AND(INDEX(Buffers!$L:$L,MATCH($H622,Buffers!$AE:$AE,0))="Planned",$E622&gt;0,INT($B622)&lt;=PlanDate+ROUNDUP(IF(ISNUMBER(SpikeHorizon),SpikeHorizon,INDEX(Buffers!$D:$D,MATCH($H622,Buffers!$AE:$AE,0))),0),$E622&gt;=SpikePct*INDEX(Buffers!$P:$P,MATCH($H622,Buffers!$AE:$AE,0))),"Spike","Not qualified"))))))</f>
        <v/>
      </c>
      <c r="G622" s="8" t="str">
        <f aca="false">IF($A622="","",IF(OR($F622="Past due",$F622="Due today",$F622="Spike"),$C622,0))</f>
        <v/>
      </c>
      <c r="H622" s="8" t="str">
        <f aca="false">IF($A622="","",SUBSTITUTE(SUBSTITUTE(SUBSTITUTE($A622&amp;"","~","~~"),"*","~*"),"?","~?"))</f>
        <v/>
      </c>
    </row>
    <row r="623" customFormat="false" ht="15" hidden="false" customHeight="false" outlineLevel="0" collapsed="false">
      <c r="A623" s="11"/>
      <c r="B623" s="6"/>
      <c r="C623" s="11"/>
      <c r="D623" s="11"/>
      <c r="E623" s="8" t="str">
        <f aca="false">IF($A623="","",SUMIFS($C:$C,$A:$A,$H623,$B:$B,"&gt;="&amp;INT($B623),$B:$B,"&lt;"&amp;(INT($B623)+1)))</f>
        <v/>
      </c>
      <c r="F623" s="19" t="str">
        <f aca="false">IF($A623="","",IF(ISNA(MATCH($H623,Buffers!$AE:$AE,0)),"Not on Buffers",IF(NOT(ISNUMBER($B623)),"Needs a date",IF(INT($B623)&lt;PlanDate,"Past due",IF(INT($B623)=PlanDate,"Due today",IF(AND(INDEX(Buffers!$L:$L,MATCH($H623,Buffers!$AE:$AE,0))="Planned",$E623&gt;0,INT($B623)&lt;=PlanDate+ROUNDUP(IF(ISNUMBER(SpikeHorizon),SpikeHorizon,INDEX(Buffers!$D:$D,MATCH($H623,Buffers!$AE:$AE,0))),0),$E623&gt;=SpikePct*INDEX(Buffers!$P:$P,MATCH($H623,Buffers!$AE:$AE,0))),"Spike","Not qualified"))))))</f>
        <v/>
      </c>
      <c r="G623" s="8" t="str">
        <f aca="false">IF($A623="","",IF(OR($F623="Past due",$F623="Due today",$F623="Spike"),$C623,0))</f>
        <v/>
      </c>
      <c r="H623" s="8" t="str">
        <f aca="false">IF($A623="","",SUBSTITUTE(SUBSTITUTE(SUBSTITUTE($A623&amp;"","~","~~"),"*","~*"),"?","~?"))</f>
        <v/>
      </c>
    </row>
    <row r="624" customFormat="false" ht="15" hidden="false" customHeight="false" outlineLevel="0" collapsed="false">
      <c r="A624" s="11"/>
      <c r="B624" s="6"/>
      <c r="C624" s="11"/>
      <c r="D624" s="11"/>
      <c r="E624" s="8" t="str">
        <f aca="false">IF($A624="","",SUMIFS($C:$C,$A:$A,$H624,$B:$B,"&gt;="&amp;INT($B624),$B:$B,"&lt;"&amp;(INT($B624)+1)))</f>
        <v/>
      </c>
      <c r="F624" s="19" t="str">
        <f aca="false">IF($A624="","",IF(ISNA(MATCH($H624,Buffers!$AE:$AE,0)),"Not on Buffers",IF(NOT(ISNUMBER($B624)),"Needs a date",IF(INT($B624)&lt;PlanDate,"Past due",IF(INT($B624)=PlanDate,"Due today",IF(AND(INDEX(Buffers!$L:$L,MATCH($H624,Buffers!$AE:$AE,0))="Planned",$E624&gt;0,INT($B624)&lt;=PlanDate+ROUNDUP(IF(ISNUMBER(SpikeHorizon),SpikeHorizon,INDEX(Buffers!$D:$D,MATCH($H624,Buffers!$AE:$AE,0))),0),$E624&gt;=SpikePct*INDEX(Buffers!$P:$P,MATCH($H624,Buffers!$AE:$AE,0))),"Spike","Not qualified"))))))</f>
        <v/>
      </c>
      <c r="G624" s="8" t="str">
        <f aca="false">IF($A624="","",IF(OR($F624="Past due",$F624="Due today",$F624="Spike"),$C624,0))</f>
        <v/>
      </c>
      <c r="H624" s="8" t="str">
        <f aca="false">IF($A624="","",SUBSTITUTE(SUBSTITUTE(SUBSTITUTE($A624&amp;"","~","~~"),"*","~*"),"?","~?"))</f>
        <v/>
      </c>
    </row>
    <row r="625" customFormat="false" ht="15" hidden="false" customHeight="false" outlineLevel="0" collapsed="false">
      <c r="A625" s="11"/>
      <c r="B625" s="6"/>
      <c r="C625" s="11"/>
      <c r="D625" s="11"/>
      <c r="E625" s="8" t="str">
        <f aca="false">IF($A625="","",SUMIFS($C:$C,$A:$A,$H625,$B:$B,"&gt;="&amp;INT($B625),$B:$B,"&lt;"&amp;(INT($B625)+1)))</f>
        <v/>
      </c>
      <c r="F625" s="19" t="str">
        <f aca="false">IF($A625="","",IF(ISNA(MATCH($H625,Buffers!$AE:$AE,0)),"Not on Buffers",IF(NOT(ISNUMBER($B625)),"Needs a date",IF(INT($B625)&lt;PlanDate,"Past due",IF(INT($B625)=PlanDate,"Due today",IF(AND(INDEX(Buffers!$L:$L,MATCH($H625,Buffers!$AE:$AE,0))="Planned",$E625&gt;0,INT($B625)&lt;=PlanDate+ROUNDUP(IF(ISNUMBER(SpikeHorizon),SpikeHorizon,INDEX(Buffers!$D:$D,MATCH($H625,Buffers!$AE:$AE,0))),0),$E625&gt;=SpikePct*INDEX(Buffers!$P:$P,MATCH($H625,Buffers!$AE:$AE,0))),"Spike","Not qualified"))))))</f>
        <v/>
      </c>
      <c r="G625" s="8" t="str">
        <f aca="false">IF($A625="","",IF(OR($F625="Past due",$F625="Due today",$F625="Spike"),$C625,0))</f>
        <v/>
      </c>
      <c r="H625" s="8" t="str">
        <f aca="false">IF($A625="","",SUBSTITUTE(SUBSTITUTE(SUBSTITUTE($A625&amp;"","~","~~"),"*","~*"),"?","~?"))</f>
        <v/>
      </c>
    </row>
    <row r="626" customFormat="false" ht="15" hidden="false" customHeight="false" outlineLevel="0" collapsed="false">
      <c r="A626" s="11"/>
      <c r="B626" s="6"/>
      <c r="C626" s="11"/>
      <c r="D626" s="11"/>
      <c r="E626" s="8" t="str">
        <f aca="false">IF($A626="","",SUMIFS($C:$C,$A:$A,$H626,$B:$B,"&gt;="&amp;INT($B626),$B:$B,"&lt;"&amp;(INT($B626)+1)))</f>
        <v/>
      </c>
      <c r="F626" s="19" t="str">
        <f aca="false">IF($A626="","",IF(ISNA(MATCH($H626,Buffers!$AE:$AE,0)),"Not on Buffers",IF(NOT(ISNUMBER($B626)),"Needs a date",IF(INT($B626)&lt;PlanDate,"Past due",IF(INT($B626)=PlanDate,"Due today",IF(AND(INDEX(Buffers!$L:$L,MATCH($H626,Buffers!$AE:$AE,0))="Planned",$E626&gt;0,INT($B626)&lt;=PlanDate+ROUNDUP(IF(ISNUMBER(SpikeHorizon),SpikeHorizon,INDEX(Buffers!$D:$D,MATCH($H626,Buffers!$AE:$AE,0))),0),$E626&gt;=SpikePct*INDEX(Buffers!$P:$P,MATCH($H626,Buffers!$AE:$AE,0))),"Spike","Not qualified"))))))</f>
        <v/>
      </c>
      <c r="G626" s="8" t="str">
        <f aca="false">IF($A626="","",IF(OR($F626="Past due",$F626="Due today",$F626="Spike"),$C626,0))</f>
        <v/>
      </c>
      <c r="H626" s="8" t="str">
        <f aca="false">IF($A626="","",SUBSTITUTE(SUBSTITUTE(SUBSTITUTE($A626&amp;"","~","~~"),"*","~*"),"?","~?"))</f>
        <v/>
      </c>
    </row>
    <row r="627" customFormat="false" ht="15" hidden="false" customHeight="false" outlineLevel="0" collapsed="false">
      <c r="A627" s="11"/>
      <c r="B627" s="6"/>
      <c r="C627" s="11"/>
      <c r="D627" s="11"/>
      <c r="E627" s="8" t="str">
        <f aca="false">IF($A627="","",SUMIFS($C:$C,$A:$A,$H627,$B:$B,"&gt;="&amp;INT($B627),$B:$B,"&lt;"&amp;(INT($B627)+1)))</f>
        <v/>
      </c>
      <c r="F627" s="19" t="str">
        <f aca="false">IF($A627="","",IF(ISNA(MATCH($H627,Buffers!$AE:$AE,0)),"Not on Buffers",IF(NOT(ISNUMBER($B627)),"Needs a date",IF(INT($B627)&lt;PlanDate,"Past due",IF(INT($B627)=PlanDate,"Due today",IF(AND(INDEX(Buffers!$L:$L,MATCH($H627,Buffers!$AE:$AE,0))="Planned",$E627&gt;0,INT($B627)&lt;=PlanDate+ROUNDUP(IF(ISNUMBER(SpikeHorizon),SpikeHorizon,INDEX(Buffers!$D:$D,MATCH($H627,Buffers!$AE:$AE,0))),0),$E627&gt;=SpikePct*INDEX(Buffers!$P:$P,MATCH($H627,Buffers!$AE:$AE,0))),"Spike","Not qualified"))))))</f>
        <v/>
      </c>
      <c r="G627" s="8" t="str">
        <f aca="false">IF($A627="","",IF(OR($F627="Past due",$F627="Due today",$F627="Spike"),$C627,0))</f>
        <v/>
      </c>
      <c r="H627" s="8" t="str">
        <f aca="false">IF($A627="","",SUBSTITUTE(SUBSTITUTE(SUBSTITUTE($A627&amp;"","~","~~"),"*","~*"),"?","~?"))</f>
        <v/>
      </c>
    </row>
    <row r="628" customFormat="false" ht="15" hidden="false" customHeight="false" outlineLevel="0" collapsed="false">
      <c r="A628" s="11"/>
      <c r="B628" s="6"/>
      <c r="C628" s="11"/>
      <c r="D628" s="11"/>
      <c r="E628" s="8" t="str">
        <f aca="false">IF($A628="","",SUMIFS($C:$C,$A:$A,$H628,$B:$B,"&gt;="&amp;INT($B628),$B:$B,"&lt;"&amp;(INT($B628)+1)))</f>
        <v/>
      </c>
      <c r="F628" s="19" t="str">
        <f aca="false">IF($A628="","",IF(ISNA(MATCH($H628,Buffers!$AE:$AE,0)),"Not on Buffers",IF(NOT(ISNUMBER($B628)),"Needs a date",IF(INT($B628)&lt;PlanDate,"Past due",IF(INT($B628)=PlanDate,"Due today",IF(AND(INDEX(Buffers!$L:$L,MATCH($H628,Buffers!$AE:$AE,0))="Planned",$E628&gt;0,INT($B628)&lt;=PlanDate+ROUNDUP(IF(ISNUMBER(SpikeHorizon),SpikeHorizon,INDEX(Buffers!$D:$D,MATCH($H628,Buffers!$AE:$AE,0))),0),$E628&gt;=SpikePct*INDEX(Buffers!$P:$P,MATCH($H628,Buffers!$AE:$AE,0))),"Spike","Not qualified"))))))</f>
        <v/>
      </c>
      <c r="G628" s="8" t="str">
        <f aca="false">IF($A628="","",IF(OR($F628="Past due",$F628="Due today",$F628="Spike"),$C628,0))</f>
        <v/>
      </c>
      <c r="H628" s="8" t="str">
        <f aca="false">IF($A628="","",SUBSTITUTE(SUBSTITUTE(SUBSTITUTE($A628&amp;"","~","~~"),"*","~*"),"?","~?"))</f>
        <v/>
      </c>
    </row>
    <row r="629" customFormat="false" ht="15" hidden="false" customHeight="false" outlineLevel="0" collapsed="false">
      <c r="A629" s="11"/>
      <c r="B629" s="6"/>
      <c r="C629" s="11"/>
      <c r="D629" s="11"/>
      <c r="E629" s="8" t="str">
        <f aca="false">IF($A629="","",SUMIFS($C:$C,$A:$A,$H629,$B:$B,"&gt;="&amp;INT($B629),$B:$B,"&lt;"&amp;(INT($B629)+1)))</f>
        <v/>
      </c>
      <c r="F629" s="19" t="str">
        <f aca="false">IF($A629="","",IF(ISNA(MATCH($H629,Buffers!$AE:$AE,0)),"Not on Buffers",IF(NOT(ISNUMBER($B629)),"Needs a date",IF(INT($B629)&lt;PlanDate,"Past due",IF(INT($B629)=PlanDate,"Due today",IF(AND(INDEX(Buffers!$L:$L,MATCH($H629,Buffers!$AE:$AE,0))="Planned",$E629&gt;0,INT($B629)&lt;=PlanDate+ROUNDUP(IF(ISNUMBER(SpikeHorizon),SpikeHorizon,INDEX(Buffers!$D:$D,MATCH($H629,Buffers!$AE:$AE,0))),0),$E629&gt;=SpikePct*INDEX(Buffers!$P:$P,MATCH($H629,Buffers!$AE:$AE,0))),"Spike","Not qualified"))))))</f>
        <v/>
      </c>
      <c r="G629" s="8" t="str">
        <f aca="false">IF($A629="","",IF(OR($F629="Past due",$F629="Due today",$F629="Spike"),$C629,0))</f>
        <v/>
      </c>
      <c r="H629" s="8" t="str">
        <f aca="false">IF($A629="","",SUBSTITUTE(SUBSTITUTE(SUBSTITUTE($A629&amp;"","~","~~"),"*","~*"),"?","~?"))</f>
        <v/>
      </c>
    </row>
    <row r="630" customFormat="false" ht="15" hidden="false" customHeight="false" outlineLevel="0" collapsed="false">
      <c r="A630" s="11"/>
      <c r="B630" s="6"/>
      <c r="C630" s="11"/>
      <c r="D630" s="11"/>
      <c r="E630" s="8" t="str">
        <f aca="false">IF($A630="","",SUMIFS($C:$C,$A:$A,$H630,$B:$B,"&gt;="&amp;INT($B630),$B:$B,"&lt;"&amp;(INT($B630)+1)))</f>
        <v/>
      </c>
      <c r="F630" s="19" t="str">
        <f aca="false">IF($A630="","",IF(ISNA(MATCH($H630,Buffers!$AE:$AE,0)),"Not on Buffers",IF(NOT(ISNUMBER($B630)),"Needs a date",IF(INT($B630)&lt;PlanDate,"Past due",IF(INT($B630)=PlanDate,"Due today",IF(AND(INDEX(Buffers!$L:$L,MATCH($H630,Buffers!$AE:$AE,0))="Planned",$E630&gt;0,INT($B630)&lt;=PlanDate+ROUNDUP(IF(ISNUMBER(SpikeHorizon),SpikeHorizon,INDEX(Buffers!$D:$D,MATCH($H630,Buffers!$AE:$AE,0))),0),$E630&gt;=SpikePct*INDEX(Buffers!$P:$P,MATCH($H630,Buffers!$AE:$AE,0))),"Spike","Not qualified"))))))</f>
        <v/>
      </c>
      <c r="G630" s="8" t="str">
        <f aca="false">IF($A630="","",IF(OR($F630="Past due",$F630="Due today",$F630="Spike"),$C630,0))</f>
        <v/>
      </c>
      <c r="H630" s="8" t="str">
        <f aca="false">IF($A630="","",SUBSTITUTE(SUBSTITUTE(SUBSTITUTE($A630&amp;"","~","~~"),"*","~*"),"?","~?"))</f>
        <v/>
      </c>
    </row>
    <row r="631" customFormat="false" ht="15" hidden="false" customHeight="false" outlineLevel="0" collapsed="false">
      <c r="A631" s="11"/>
      <c r="B631" s="6"/>
      <c r="C631" s="11"/>
      <c r="D631" s="11"/>
      <c r="E631" s="8" t="str">
        <f aca="false">IF($A631="","",SUMIFS($C:$C,$A:$A,$H631,$B:$B,"&gt;="&amp;INT($B631),$B:$B,"&lt;"&amp;(INT($B631)+1)))</f>
        <v/>
      </c>
      <c r="F631" s="19" t="str">
        <f aca="false">IF($A631="","",IF(ISNA(MATCH($H631,Buffers!$AE:$AE,0)),"Not on Buffers",IF(NOT(ISNUMBER($B631)),"Needs a date",IF(INT($B631)&lt;PlanDate,"Past due",IF(INT($B631)=PlanDate,"Due today",IF(AND(INDEX(Buffers!$L:$L,MATCH($H631,Buffers!$AE:$AE,0))="Planned",$E631&gt;0,INT($B631)&lt;=PlanDate+ROUNDUP(IF(ISNUMBER(SpikeHorizon),SpikeHorizon,INDEX(Buffers!$D:$D,MATCH($H631,Buffers!$AE:$AE,0))),0),$E631&gt;=SpikePct*INDEX(Buffers!$P:$P,MATCH($H631,Buffers!$AE:$AE,0))),"Spike","Not qualified"))))))</f>
        <v/>
      </c>
      <c r="G631" s="8" t="str">
        <f aca="false">IF($A631="","",IF(OR($F631="Past due",$F631="Due today",$F631="Spike"),$C631,0))</f>
        <v/>
      </c>
      <c r="H631" s="8" t="str">
        <f aca="false">IF($A631="","",SUBSTITUTE(SUBSTITUTE(SUBSTITUTE($A631&amp;"","~","~~"),"*","~*"),"?","~?"))</f>
        <v/>
      </c>
    </row>
    <row r="632" customFormat="false" ht="15" hidden="false" customHeight="false" outlineLevel="0" collapsed="false">
      <c r="A632" s="11"/>
      <c r="B632" s="6"/>
      <c r="C632" s="11"/>
      <c r="D632" s="11"/>
      <c r="E632" s="8" t="str">
        <f aca="false">IF($A632="","",SUMIFS($C:$C,$A:$A,$H632,$B:$B,"&gt;="&amp;INT($B632),$B:$B,"&lt;"&amp;(INT($B632)+1)))</f>
        <v/>
      </c>
      <c r="F632" s="19" t="str">
        <f aca="false">IF($A632="","",IF(ISNA(MATCH($H632,Buffers!$AE:$AE,0)),"Not on Buffers",IF(NOT(ISNUMBER($B632)),"Needs a date",IF(INT($B632)&lt;PlanDate,"Past due",IF(INT($B632)=PlanDate,"Due today",IF(AND(INDEX(Buffers!$L:$L,MATCH($H632,Buffers!$AE:$AE,0))="Planned",$E632&gt;0,INT($B632)&lt;=PlanDate+ROUNDUP(IF(ISNUMBER(SpikeHorizon),SpikeHorizon,INDEX(Buffers!$D:$D,MATCH($H632,Buffers!$AE:$AE,0))),0),$E632&gt;=SpikePct*INDEX(Buffers!$P:$P,MATCH($H632,Buffers!$AE:$AE,0))),"Spike","Not qualified"))))))</f>
        <v/>
      </c>
      <c r="G632" s="8" t="str">
        <f aca="false">IF($A632="","",IF(OR($F632="Past due",$F632="Due today",$F632="Spike"),$C632,0))</f>
        <v/>
      </c>
      <c r="H632" s="8" t="str">
        <f aca="false">IF($A632="","",SUBSTITUTE(SUBSTITUTE(SUBSTITUTE($A632&amp;"","~","~~"),"*","~*"),"?","~?"))</f>
        <v/>
      </c>
    </row>
    <row r="633" customFormat="false" ht="15" hidden="false" customHeight="false" outlineLevel="0" collapsed="false">
      <c r="A633" s="11"/>
      <c r="B633" s="6"/>
      <c r="C633" s="11"/>
      <c r="D633" s="11"/>
      <c r="E633" s="8" t="str">
        <f aca="false">IF($A633="","",SUMIFS($C:$C,$A:$A,$H633,$B:$B,"&gt;="&amp;INT($B633),$B:$B,"&lt;"&amp;(INT($B633)+1)))</f>
        <v/>
      </c>
      <c r="F633" s="19" t="str">
        <f aca="false">IF($A633="","",IF(ISNA(MATCH($H633,Buffers!$AE:$AE,0)),"Not on Buffers",IF(NOT(ISNUMBER($B633)),"Needs a date",IF(INT($B633)&lt;PlanDate,"Past due",IF(INT($B633)=PlanDate,"Due today",IF(AND(INDEX(Buffers!$L:$L,MATCH($H633,Buffers!$AE:$AE,0))="Planned",$E633&gt;0,INT($B633)&lt;=PlanDate+ROUNDUP(IF(ISNUMBER(SpikeHorizon),SpikeHorizon,INDEX(Buffers!$D:$D,MATCH($H633,Buffers!$AE:$AE,0))),0),$E633&gt;=SpikePct*INDEX(Buffers!$P:$P,MATCH($H633,Buffers!$AE:$AE,0))),"Spike","Not qualified"))))))</f>
        <v/>
      </c>
      <c r="G633" s="8" t="str">
        <f aca="false">IF($A633="","",IF(OR($F633="Past due",$F633="Due today",$F633="Spike"),$C633,0))</f>
        <v/>
      </c>
      <c r="H633" s="8" t="str">
        <f aca="false">IF($A633="","",SUBSTITUTE(SUBSTITUTE(SUBSTITUTE($A633&amp;"","~","~~"),"*","~*"),"?","~?"))</f>
        <v/>
      </c>
    </row>
    <row r="634" customFormat="false" ht="15" hidden="false" customHeight="false" outlineLevel="0" collapsed="false">
      <c r="A634" s="11"/>
      <c r="B634" s="6"/>
      <c r="C634" s="11"/>
      <c r="D634" s="11"/>
      <c r="E634" s="8" t="str">
        <f aca="false">IF($A634="","",SUMIFS($C:$C,$A:$A,$H634,$B:$B,"&gt;="&amp;INT($B634),$B:$B,"&lt;"&amp;(INT($B634)+1)))</f>
        <v/>
      </c>
      <c r="F634" s="19" t="str">
        <f aca="false">IF($A634="","",IF(ISNA(MATCH($H634,Buffers!$AE:$AE,0)),"Not on Buffers",IF(NOT(ISNUMBER($B634)),"Needs a date",IF(INT($B634)&lt;PlanDate,"Past due",IF(INT($B634)=PlanDate,"Due today",IF(AND(INDEX(Buffers!$L:$L,MATCH($H634,Buffers!$AE:$AE,0))="Planned",$E634&gt;0,INT($B634)&lt;=PlanDate+ROUNDUP(IF(ISNUMBER(SpikeHorizon),SpikeHorizon,INDEX(Buffers!$D:$D,MATCH($H634,Buffers!$AE:$AE,0))),0),$E634&gt;=SpikePct*INDEX(Buffers!$P:$P,MATCH($H634,Buffers!$AE:$AE,0))),"Spike","Not qualified"))))))</f>
        <v/>
      </c>
      <c r="G634" s="8" t="str">
        <f aca="false">IF($A634="","",IF(OR($F634="Past due",$F634="Due today",$F634="Spike"),$C634,0))</f>
        <v/>
      </c>
      <c r="H634" s="8" t="str">
        <f aca="false">IF($A634="","",SUBSTITUTE(SUBSTITUTE(SUBSTITUTE($A634&amp;"","~","~~"),"*","~*"),"?","~?"))</f>
        <v/>
      </c>
    </row>
    <row r="635" customFormat="false" ht="15" hidden="false" customHeight="false" outlineLevel="0" collapsed="false">
      <c r="A635" s="11"/>
      <c r="B635" s="6"/>
      <c r="C635" s="11"/>
      <c r="D635" s="11"/>
      <c r="E635" s="8" t="str">
        <f aca="false">IF($A635="","",SUMIFS($C:$C,$A:$A,$H635,$B:$B,"&gt;="&amp;INT($B635),$B:$B,"&lt;"&amp;(INT($B635)+1)))</f>
        <v/>
      </c>
      <c r="F635" s="19" t="str">
        <f aca="false">IF($A635="","",IF(ISNA(MATCH($H635,Buffers!$AE:$AE,0)),"Not on Buffers",IF(NOT(ISNUMBER($B635)),"Needs a date",IF(INT($B635)&lt;PlanDate,"Past due",IF(INT($B635)=PlanDate,"Due today",IF(AND(INDEX(Buffers!$L:$L,MATCH($H635,Buffers!$AE:$AE,0))="Planned",$E635&gt;0,INT($B635)&lt;=PlanDate+ROUNDUP(IF(ISNUMBER(SpikeHorizon),SpikeHorizon,INDEX(Buffers!$D:$D,MATCH($H635,Buffers!$AE:$AE,0))),0),$E635&gt;=SpikePct*INDEX(Buffers!$P:$P,MATCH($H635,Buffers!$AE:$AE,0))),"Spike","Not qualified"))))))</f>
        <v/>
      </c>
      <c r="G635" s="8" t="str">
        <f aca="false">IF($A635="","",IF(OR($F635="Past due",$F635="Due today",$F635="Spike"),$C635,0))</f>
        <v/>
      </c>
      <c r="H635" s="8" t="str">
        <f aca="false">IF($A635="","",SUBSTITUTE(SUBSTITUTE(SUBSTITUTE($A635&amp;"","~","~~"),"*","~*"),"?","~?"))</f>
        <v/>
      </c>
    </row>
    <row r="636" customFormat="false" ht="15" hidden="false" customHeight="false" outlineLevel="0" collapsed="false">
      <c r="A636" s="11"/>
      <c r="B636" s="6"/>
      <c r="C636" s="11"/>
      <c r="D636" s="11"/>
      <c r="E636" s="8" t="str">
        <f aca="false">IF($A636="","",SUMIFS($C:$C,$A:$A,$H636,$B:$B,"&gt;="&amp;INT($B636),$B:$B,"&lt;"&amp;(INT($B636)+1)))</f>
        <v/>
      </c>
      <c r="F636" s="19" t="str">
        <f aca="false">IF($A636="","",IF(ISNA(MATCH($H636,Buffers!$AE:$AE,0)),"Not on Buffers",IF(NOT(ISNUMBER($B636)),"Needs a date",IF(INT($B636)&lt;PlanDate,"Past due",IF(INT($B636)=PlanDate,"Due today",IF(AND(INDEX(Buffers!$L:$L,MATCH($H636,Buffers!$AE:$AE,0))="Planned",$E636&gt;0,INT($B636)&lt;=PlanDate+ROUNDUP(IF(ISNUMBER(SpikeHorizon),SpikeHorizon,INDEX(Buffers!$D:$D,MATCH($H636,Buffers!$AE:$AE,0))),0),$E636&gt;=SpikePct*INDEX(Buffers!$P:$P,MATCH($H636,Buffers!$AE:$AE,0))),"Spike","Not qualified"))))))</f>
        <v/>
      </c>
      <c r="G636" s="8" t="str">
        <f aca="false">IF($A636="","",IF(OR($F636="Past due",$F636="Due today",$F636="Spike"),$C636,0))</f>
        <v/>
      </c>
      <c r="H636" s="8" t="str">
        <f aca="false">IF($A636="","",SUBSTITUTE(SUBSTITUTE(SUBSTITUTE($A636&amp;"","~","~~"),"*","~*"),"?","~?"))</f>
        <v/>
      </c>
    </row>
    <row r="637" customFormat="false" ht="15" hidden="false" customHeight="false" outlineLevel="0" collapsed="false">
      <c r="A637" s="11"/>
      <c r="B637" s="6"/>
      <c r="C637" s="11"/>
      <c r="D637" s="11"/>
      <c r="E637" s="8" t="str">
        <f aca="false">IF($A637="","",SUMIFS($C:$C,$A:$A,$H637,$B:$B,"&gt;="&amp;INT($B637),$B:$B,"&lt;"&amp;(INT($B637)+1)))</f>
        <v/>
      </c>
      <c r="F637" s="19" t="str">
        <f aca="false">IF($A637="","",IF(ISNA(MATCH($H637,Buffers!$AE:$AE,0)),"Not on Buffers",IF(NOT(ISNUMBER($B637)),"Needs a date",IF(INT($B637)&lt;PlanDate,"Past due",IF(INT($B637)=PlanDate,"Due today",IF(AND(INDEX(Buffers!$L:$L,MATCH($H637,Buffers!$AE:$AE,0))="Planned",$E637&gt;0,INT($B637)&lt;=PlanDate+ROUNDUP(IF(ISNUMBER(SpikeHorizon),SpikeHorizon,INDEX(Buffers!$D:$D,MATCH($H637,Buffers!$AE:$AE,0))),0),$E637&gt;=SpikePct*INDEX(Buffers!$P:$P,MATCH($H637,Buffers!$AE:$AE,0))),"Spike","Not qualified"))))))</f>
        <v/>
      </c>
      <c r="G637" s="8" t="str">
        <f aca="false">IF($A637="","",IF(OR($F637="Past due",$F637="Due today",$F637="Spike"),$C637,0))</f>
        <v/>
      </c>
      <c r="H637" s="8" t="str">
        <f aca="false">IF($A637="","",SUBSTITUTE(SUBSTITUTE(SUBSTITUTE($A637&amp;"","~","~~"),"*","~*"),"?","~?"))</f>
        <v/>
      </c>
    </row>
    <row r="638" customFormat="false" ht="15" hidden="false" customHeight="false" outlineLevel="0" collapsed="false">
      <c r="A638" s="11"/>
      <c r="B638" s="6"/>
      <c r="C638" s="11"/>
      <c r="D638" s="11"/>
      <c r="E638" s="8" t="str">
        <f aca="false">IF($A638="","",SUMIFS($C:$C,$A:$A,$H638,$B:$B,"&gt;="&amp;INT($B638),$B:$B,"&lt;"&amp;(INT($B638)+1)))</f>
        <v/>
      </c>
      <c r="F638" s="19" t="str">
        <f aca="false">IF($A638="","",IF(ISNA(MATCH($H638,Buffers!$AE:$AE,0)),"Not on Buffers",IF(NOT(ISNUMBER($B638)),"Needs a date",IF(INT($B638)&lt;PlanDate,"Past due",IF(INT($B638)=PlanDate,"Due today",IF(AND(INDEX(Buffers!$L:$L,MATCH($H638,Buffers!$AE:$AE,0))="Planned",$E638&gt;0,INT($B638)&lt;=PlanDate+ROUNDUP(IF(ISNUMBER(SpikeHorizon),SpikeHorizon,INDEX(Buffers!$D:$D,MATCH($H638,Buffers!$AE:$AE,0))),0),$E638&gt;=SpikePct*INDEX(Buffers!$P:$P,MATCH($H638,Buffers!$AE:$AE,0))),"Spike","Not qualified"))))))</f>
        <v/>
      </c>
      <c r="G638" s="8" t="str">
        <f aca="false">IF($A638="","",IF(OR($F638="Past due",$F638="Due today",$F638="Spike"),$C638,0))</f>
        <v/>
      </c>
      <c r="H638" s="8" t="str">
        <f aca="false">IF($A638="","",SUBSTITUTE(SUBSTITUTE(SUBSTITUTE($A638&amp;"","~","~~"),"*","~*"),"?","~?"))</f>
        <v/>
      </c>
    </row>
    <row r="639" customFormat="false" ht="15" hidden="false" customHeight="false" outlineLevel="0" collapsed="false">
      <c r="A639" s="11"/>
      <c r="B639" s="6"/>
      <c r="C639" s="11"/>
      <c r="D639" s="11"/>
      <c r="E639" s="8" t="str">
        <f aca="false">IF($A639="","",SUMIFS($C:$C,$A:$A,$H639,$B:$B,"&gt;="&amp;INT($B639),$B:$B,"&lt;"&amp;(INT($B639)+1)))</f>
        <v/>
      </c>
      <c r="F639" s="19" t="str">
        <f aca="false">IF($A639="","",IF(ISNA(MATCH($H639,Buffers!$AE:$AE,0)),"Not on Buffers",IF(NOT(ISNUMBER($B639)),"Needs a date",IF(INT($B639)&lt;PlanDate,"Past due",IF(INT($B639)=PlanDate,"Due today",IF(AND(INDEX(Buffers!$L:$L,MATCH($H639,Buffers!$AE:$AE,0))="Planned",$E639&gt;0,INT($B639)&lt;=PlanDate+ROUNDUP(IF(ISNUMBER(SpikeHorizon),SpikeHorizon,INDEX(Buffers!$D:$D,MATCH($H639,Buffers!$AE:$AE,0))),0),$E639&gt;=SpikePct*INDEX(Buffers!$P:$P,MATCH($H639,Buffers!$AE:$AE,0))),"Spike","Not qualified"))))))</f>
        <v/>
      </c>
      <c r="G639" s="8" t="str">
        <f aca="false">IF($A639="","",IF(OR($F639="Past due",$F639="Due today",$F639="Spike"),$C639,0))</f>
        <v/>
      </c>
      <c r="H639" s="8" t="str">
        <f aca="false">IF($A639="","",SUBSTITUTE(SUBSTITUTE(SUBSTITUTE($A639&amp;"","~","~~"),"*","~*"),"?","~?"))</f>
        <v/>
      </c>
    </row>
    <row r="640" customFormat="false" ht="15" hidden="false" customHeight="false" outlineLevel="0" collapsed="false">
      <c r="A640" s="11"/>
      <c r="B640" s="6"/>
      <c r="C640" s="11"/>
      <c r="D640" s="11"/>
      <c r="E640" s="8" t="str">
        <f aca="false">IF($A640="","",SUMIFS($C:$C,$A:$A,$H640,$B:$B,"&gt;="&amp;INT($B640),$B:$B,"&lt;"&amp;(INT($B640)+1)))</f>
        <v/>
      </c>
      <c r="F640" s="19" t="str">
        <f aca="false">IF($A640="","",IF(ISNA(MATCH($H640,Buffers!$AE:$AE,0)),"Not on Buffers",IF(NOT(ISNUMBER($B640)),"Needs a date",IF(INT($B640)&lt;PlanDate,"Past due",IF(INT($B640)=PlanDate,"Due today",IF(AND(INDEX(Buffers!$L:$L,MATCH($H640,Buffers!$AE:$AE,0))="Planned",$E640&gt;0,INT($B640)&lt;=PlanDate+ROUNDUP(IF(ISNUMBER(SpikeHorizon),SpikeHorizon,INDEX(Buffers!$D:$D,MATCH($H640,Buffers!$AE:$AE,0))),0),$E640&gt;=SpikePct*INDEX(Buffers!$P:$P,MATCH($H640,Buffers!$AE:$AE,0))),"Spike","Not qualified"))))))</f>
        <v/>
      </c>
      <c r="G640" s="8" t="str">
        <f aca="false">IF($A640="","",IF(OR($F640="Past due",$F640="Due today",$F640="Spike"),$C640,0))</f>
        <v/>
      </c>
      <c r="H640" s="8" t="str">
        <f aca="false">IF($A640="","",SUBSTITUTE(SUBSTITUTE(SUBSTITUTE($A640&amp;"","~","~~"),"*","~*"),"?","~?"))</f>
        <v/>
      </c>
    </row>
    <row r="641" customFormat="false" ht="15" hidden="false" customHeight="false" outlineLevel="0" collapsed="false">
      <c r="A641" s="11"/>
      <c r="B641" s="6"/>
      <c r="C641" s="11"/>
      <c r="D641" s="11"/>
      <c r="E641" s="8" t="str">
        <f aca="false">IF($A641="","",SUMIFS($C:$C,$A:$A,$H641,$B:$B,"&gt;="&amp;INT($B641),$B:$B,"&lt;"&amp;(INT($B641)+1)))</f>
        <v/>
      </c>
      <c r="F641" s="19" t="str">
        <f aca="false">IF($A641="","",IF(ISNA(MATCH($H641,Buffers!$AE:$AE,0)),"Not on Buffers",IF(NOT(ISNUMBER($B641)),"Needs a date",IF(INT($B641)&lt;PlanDate,"Past due",IF(INT($B641)=PlanDate,"Due today",IF(AND(INDEX(Buffers!$L:$L,MATCH($H641,Buffers!$AE:$AE,0))="Planned",$E641&gt;0,INT($B641)&lt;=PlanDate+ROUNDUP(IF(ISNUMBER(SpikeHorizon),SpikeHorizon,INDEX(Buffers!$D:$D,MATCH($H641,Buffers!$AE:$AE,0))),0),$E641&gt;=SpikePct*INDEX(Buffers!$P:$P,MATCH($H641,Buffers!$AE:$AE,0))),"Spike","Not qualified"))))))</f>
        <v/>
      </c>
      <c r="G641" s="8" t="str">
        <f aca="false">IF($A641="","",IF(OR($F641="Past due",$F641="Due today",$F641="Spike"),$C641,0))</f>
        <v/>
      </c>
      <c r="H641" s="8" t="str">
        <f aca="false">IF($A641="","",SUBSTITUTE(SUBSTITUTE(SUBSTITUTE($A641&amp;"","~","~~"),"*","~*"),"?","~?"))</f>
        <v/>
      </c>
    </row>
    <row r="642" customFormat="false" ht="15" hidden="false" customHeight="false" outlineLevel="0" collapsed="false">
      <c r="A642" s="11"/>
      <c r="B642" s="6"/>
      <c r="C642" s="11"/>
      <c r="D642" s="11"/>
      <c r="E642" s="8" t="str">
        <f aca="false">IF($A642="","",SUMIFS($C:$C,$A:$A,$H642,$B:$B,"&gt;="&amp;INT($B642),$B:$B,"&lt;"&amp;(INT($B642)+1)))</f>
        <v/>
      </c>
      <c r="F642" s="19" t="str">
        <f aca="false">IF($A642="","",IF(ISNA(MATCH($H642,Buffers!$AE:$AE,0)),"Not on Buffers",IF(NOT(ISNUMBER($B642)),"Needs a date",IF(INT($B642)&lt;PlanDate,"Past due",IF(INT($B642)=PlanDate,"Due today",IF(AND(INDEX(Buffers!$L:$L,MATCH($H642,Buffers!$AE:$AE,0))="Planned",$E642&gt;0,INT($B642)&lt;=PlanDate+ROUNDUP(IF(ISNUMBER(SpikeHorizon),SpikeHorizon,INDEX(Buffers!$D:$D,MATCH($H642,Buffers!$AE:$AE,0))),0),$E642&gt;=SpikePct*INDEX(Buffers!$P:$P,MATCH($H642,Buffers!$AE:$AE,0))),"Spike","Not qualified"))))))</f>
        <v/>
      </c>
      <c r="G642" s="8" t="str">
        <f aca="false">IF($A642="","",IF(OR($F642="Past due",$F642="Due today",$F642="Spike"),$C642,0))</f>
        <v/>
      </c>
      <c r="H642" s="8" t="str">
        <f aca="false">IF($A642="","",SUBSTITUTE(SUBSTITUTE(SUBSTITUTE($A642&amp;"","~","~~"),"*","~*"),"?","~?"))</f>
        <v/>
      </c>
    </row>
    <row r="643" customFormat="false" ht="15" hidden="false" customHeight="false" outlineLevel="0" collapsed="false">
      <c r="A643" s="11"/>
      <c r="B643" s="6"/>
      <c r="C643" s="11"/>
      <c r="D643" s="11"/>
      <c r="E643" s="8" t="str">
        <f aca="false">IF($A643="","",SUMIFS($C:$C,$A:$A,$H643,$B:$B,"&gt;="&amp;INT($B643),$B:$B,"&lt;"&amp;(INT($B643)+1)))</f>
        <v/>
      </c>
      <c r="F643" s="19" t="str">
        <f aca="false">IF($A643="","",IF(ISNA(MATCH($H643,Buffers!$AE:$AE,0)),"Not on Buffers",IF(NOT(ISNUMBER($B643)),"Needs a date",IF(INT($B643)&lt;PlanDate,"Past due",IF(INT($B643)=PlanDate,"Due today",IF(AND(INDEX(Buffers!$L:$L,MATCH($H643,Buffers!$AE:$AE,0))="Planned",$E643&gt;0,INT($B643)&lt;=PlanDate+ROUNDUP(IF(ISNUMBER(SpikeHorizon),SpikeHorizon,INDEX(Buffers!$D:$D,MATCH($H643,Buffers!$AE:$AE,0))),0),$E643&gt;=SpikePct*INDEX(Buffers!$P:$P,MATCH($H643,Buffers!$AE:$AE,0))),"Spike","Not qualified"))))))</f>
        <v/>
      </c>
      <c r="G643" s="8" t="str">
        <f aca="false">IF($A643="","",IF(OR($F643="Past due",$F643="Due today",$F643="Spike"),$C643,0))</f>
        <v/>
      </c>
      <c r="H643" s="8" t="str">
        <f aca="false">IF($A643="","",SUBSTITUTE(SUBSTITUTE(SUBSTITUTE($A643&amp;"","~","~~"),"*","~*"),"?","~?"))</f>
        <v/>
      </c>
    </row>
    <row r="644" customFormat="false" ht="15" hidden="false" customHeight="false" outlineLevel="0" collapsed="false">
      <c r="A644" s="11"/>
      <c r="B644" s="6"/>
      <c r="C644" s="11"/>
      <c r="D644" s="11"/>
      <c r="E644" s="8" t="str">
        <f aca="false">IF($A644="","",SUMIFS($C:$C,$A:$A,$H644,$B:$B,"&gt;="&amp;INT($B644),$B:$B,"&lt;"&amp;(INT($B644)+1)))</f>
        <v/>
      </c>
      <c r="F644" s="19" t="str">
        <f aca="false">IF($A644="","",IF(ISNA(MATCH($H644,Buffers!$AE:$AE,0)),"Not on Buffers",IF(NOT(ISNUMBER($B644)),"Needs a date",IF(INT($B644)&lt;PlanDate,"Past due",IF(INT($B644)=PlanDate,"Due today",IF(AND(INDEX(Buffers!$L:$L,MATCH($H644,Buffers!$AE:$AE,0))="Planned",$E644&gt;0,INT($B644)&lt;=PlanDate+ROUNDUP(IF(ISNUMBER(SpikeHorizon),SpikeHorizon,INDEX(Buffers!$D:$D,MATCH($H644,Buffers!$AE:$AE,0))),0),$E644&gt;=SpikePct*INDEX(Buffers!$P:$P,MATCH($H644,Buffers!$AE:$AE,0))),"Spike","Not qualified"))))))</f>
        <v/>
      </c>
      <c r="G644" s="8" t="str">
        <f aca="false">IF($A644="","",IF(OR($F644="Past due",$F644="Due today",$F644="Spike"),$C644,0))</f>
        <v/>
      </c>
      <c r="H644" s="8" t="str">
        <f aca="false">IF($A644="","",SUBSTITUTE(SUBSTITUTE(SUBSTITUTE($A644&amp;"","~","~~"),"*","~*"),"?","~?"))</f>
        <v/>
      </c>
    </row>
    <row r="645" customFormat="false" ht="15" hidden="false" customHeight="false" outlineLevel="0" collapsed="false">
      <c r="A645" s="11"/>
      <c r="B645" s="6"/>
      <c r="C645" s="11"/>
      <c r="D645" s="11"/>
      <c r="E645" s="8" t="str">
        <f aca="false">IF($A645="","",SUMIFS($C:$C,$A:$A,$H645,$B:$B,"&gt;="&amp;INT($B645),$B:$B,"&lt;"&amp;(INT($B645)+1)))</f>
        <v/>
      </c>
      <c r="F645" s="19" t="str">
        <f aca="false">IF($A645="","",IF(ISNA(MATCH($H645,Buffers!$AE:$AE,0)),"Not on Buffers",IF(NOT(ISNUMBER($B645)),"Needs a date",IF(INT($B645)&lt;PlanDate,"Past due",IF(INT($B645)=PlanDate,"Due today",IF(AND(INDEX(Buffers!$L:$L,MATCH($H645,Buffers!$AE:$AE,0))="Planned",$E645&gt;0,INT($B645)&lt;=PlanDate+ROUNDUP(IF(ISNUMBER(SpikeHorizon),SpikeHorizon,INDEX(Buffers!$D:$D,MATCH($H645,Buffers!$AE:$AE,0))),0),$E645&gt;=SpikePct*INDEX(Buffers!$P:$P,MATCH($H645,Buffers!$AE:$AE,0))),"Spike","Not qualified"))))))</f>
        <v/>
      </c>
      <c r="G645" s="8" t="str">
        <f aca="false">IF($A645="","",IF(OR($F645="Past due",$F645="Due today",$F645="Spike"),$C645,0))</f>
        <v/>
      </c>
      <c r="H645" s="8" t="str">
        <f aca="false">IF($A645="","",SUBSTITUTE(SUBSTITUTE(SUBSTITUTE($A645&amp;"","~","~~"),"*","~*"),"?","~?"))</f>
        <v/>
      </c>
    </row>
    <row r="646" customFormat="false" ht="15" hidden="false" customHeight="false" outlineLevel="0" collapsed="false">
      <c r="A646" s="11"/>
      <c r="B646" s="6"/>
      <c r="C646" s="11"/>
      <c r="D646" s="11"/>
      <c r="E646" s="8" t="str">
        <f aca="false">IF($A646="","",SUMIFS($C:$C,$A:$A,$H646,$B:$B,"&gt;="&amp;INT($B646),$B:$B,"&lt;"&amp;(INT($B646)+1)))</f>
        <v/>
      </c>
      <c r="F646" s="19" t="str">
        <f aca="false">IF($A646="","",IF(ISNA(MATCH($H646,Buffers!$AE:$AE,0)),"Not on Buffers",IF(NOT(ISNUMBER($B646)),"Needs a date",IF(INT($B646)&lt;PlanDate,"Past due",IF(INT($B646)=PlanDate,"Due today",IF(AND(INDEX(Buffers!$L:$L,MATCH($H646,Buffers!$AE:$AE,0))="Planned",$E646&gt;0,INT($B646)&lt;=PlanDate+ROUNDUP(IF(ISNUMBER(SpikeHorizon),SpikeHorizon,INDEX(Buffers!$D:$D,MATCH($H646,Buffers!$AE:$AE,0))),0),$E646&gt;=SpikePct*INDEX(Buffers!$P:$P,MATCH($H646,Buffers!$AE:$AE,0))),"Spike","Not qualified"))))))</f>
        <v/>
      </c>
      <c r="G646" s="8" t="str">
        <f aca="false">IF($A646="","",IF(OR($F646="Past due",$F646="Due today",$F646="Spike"),$C646,0))</f>
        <v/>
      </c>
      <c r="H646" s="8" t="str">
        <f aca="false">IF($A646="","",SUBSTITUTE(SUBSTITUTE(SUBSTITUTE($A646&amp;"","~","~~"),"*","~*"),"?","~?"))</f>
        <v/>
      </c>
    </row>
    <row r="647" customFormat="false" ht="15" hidden="false" customHeight="false" outlineLevel="0" collapsed="false">
      <c r="A647" s="11"/>
      <c r="B647" s="6"/>
      <c r="C647" s="11"/>
      <c r="D647" s="11"/>
      <c r="E647" s="8" t="str">
        <f aca="false">IF($A647="","",SUMIFS($C:$C,$A:$A,$H647,$B:$B,"&gt;="&amp;INT($B647),$B:$B,"&lt;"&amp;(INT($B647)+1)))</f>
        <v/>
      </c>
      <c r="F647" s="19" t="str">
        <f aca="false">IF($A647="","",IF(ISNA(MATCH($H647,Buffers!$AE:$AE,0)),"Not on Buffers",IF(NOT(ISNUMBER($B647)),"Needs a date",IF(INT($B647)&lt;PlanDate,"Past due",IF(INT($B647)=PlanDate,"Due today",IF(AND(INDEX(Buffers!$L:$L,MATCH($H647,Buffers!$AE:$AE,0))="Planned",$E647&gt;0,INT($B647)&lt;=PlanDate+ROUNDUP(IF(ISNUMBER(SpikeHorizon),SpikeHorizon,INDEX(Buffers!$D:$D,MATCH($H647,Buffers!$AE:$AE,0))),0),$E647&gt;=SpikePct*INDEX(Buffers!$P:$P,MATCH($H647,Buffers!$AE:$AE,0))),"Spike","Not qualified"))))))</f>
        <v/>
      </c>
      <c r="G647" s="8" t="str">
        <f aca="false">IF($A647="","",IF(OR($F647="Past due",$F647="Due today",$F647="Spike"),$C647,0))</f>
        <v/>
      </c>
      <c r="H647" s="8" t="str">
        <f aca="false">IF($A647="","",SUBSTITUTE(SUBSTITUTE(SUBSTITUTE($A647&amp;"","~","~~"),"*","~*"),"?","~?"))</f>
        <v/>
      </c>
    </row>
    <row r="648" customFormat="false" ht="15" hidden="false" customHeight="false" outlineLevel="0" collapsed="false">
      <c r="A648" s="11"/>
      <c r="B648" s="6"/>
      <c r="C648" s="11"/>
      <c r="D648" s="11"/>
      <c r="E648" s="8" t="str">
        <f aca="false">IF($A648="","",SUMIFS($C:$C,$A:$A,$H648,$B:$B,"&gt;="&amp;INT($B648),$B:$B,"&lt;"&amp;(INT($B648)+1)))</f>
        <v/>
      </c>
      <c r="F648" s="19" t="str">
        <f aca="false">IF($A648="","",IF(ISNA(MATCH($H648,Buffers!$AE:$AE,0)),"Not on Buffers",IF(NOT(ISNUMBER($B648)),"Needs a date",IF(INT($B648)&lt;PlanDate,"Past due",IF(INT($B648)=PlanDate,"Due today",IF(AND(INDEX(Buffers!$L:$L,MATCH($H648,Buffers!$AE:$AE,0))="Planned",$E648&gt;0,INT($B648)&lt;=PlanDate+ROUNDUP(IF(ISNUMBER(SpikeHorizon),SpikeHorizon,INDEX(Buffers!$D:$D,MATCH($H648,Buffers!$AE:$AE,0))),0),$E648&gt;=SpikePct*INDEX(Buffers!$P:$P,MATCH($H648,Buffers!$AE:$AE,0))),"Spike","Not qualified"))))))</f>
        <v/>
      </c>
      <c r="G648" s="8" t="str">
        <f aca="false">IF($A648="","",IF(OR($F648="Past due",$F648="Due today",$F648="Spike"),$C648,0))</f>
        <v/>
      </c>
      <c r="H648" s="8" t="str">
        <f aca="false">IF($A648="","",SUBSTITUTE(SUBSTITUTE(SUBSTITUTE($A648&amp;"","~","~~"),"*","~*"),"?","~?"))</f>
        <v/>
      </c>
    </row>
    <row r="649" customFormat="false" ht="15" hidden="false" customHeight="false" outlineLevel="0" collapsed="false">
      <c r="A649" s="11"/>
      <c r="B649" s="6"/>
      <c r="C649" s="11"/>
      <c r="D649" s="11"/>
      <c r="E649" s="8" t="str">
        <f aca="false">IF($A649="","",SUMIFS($C:$C,$A:$A,$H649,$B:$B,"&gt;="&amp;INT($B649),$B:$B,"&lt;"&amp;(INT($B649)+1)))</f>
        <v/>
      </c>
      <c r="F649" s="19" t="str">
        <f aca="false">IF($A649="","",IF(ISNA(MATCH($H649,Buffers!$AE:$AE,0)),"Not on Buffers",IF(NOT(ISNUMBER($B649)),"Needs a date",IF(INT($B649)&lt;PlanDate,"Past due",IF(INT($B649)=PlanDate,"Due today",IF(AND(INDEX(Buffers!$L:$L,MATCH($H649,Buffers!$AE:$AE,0))="Planned",$E649&gt;0,INT($B649)&lt;=PlanDate+ROUNDUP(IF(ISNUMBER(SpikeHorizon),SpikeHorizon,INDEX(Buffers!$D:$D,MATCH($H649,Buffers!$AE:$AE,0))),0),$E649&gt;=SpikePct*INDEX(Buffers!$P:$P,MATCH($H649,Buffers!$AE:$AE,0))),"Spike","Not qualified"))))))</f>
        <v/>
      </c>
      <c r="G649" s="8" t="str">
        <f aca="false">IF($A649="","",IF(OR($F649="Past due",$F649="Due today",$F649="Spike"),$C649,0))</f>
        <v/>
      </c>
      <c r="H649" s="8" t="str">
        <f aca="false">IF($A649="","",SUBSTITUTE(SUBSTITUTE(SUBSTITUTE($A649&amp;"","~","~~"),"*","~*"),"?","~?"))</f>
        <v/>
      </c>
    </row>
    <row r="650" customFormat="false" ht="15" hidden="false" customHeight="false" outlineLevel="0" collapsed="false">
      <c r="A650" s="11"/>
      <c r="B650" s="6"/>
      <c r="C650" s="11"/>
      <c r="D650" s="11"/>
      <c r="E650" s="8" t="str">
        <f aca="false">IF($A650="","",SUMIFS($C:$C,$A:$A,$H650,$B:$B,"&gt;="&amp;INT($B650),$B:$B,"&lt;"&amp;(INT($B650)+1)))</f>
        <v/>
      </c>
      <c r="F650" s="19" t="str">
        <f aca="false">IF($A650="","",IF(ISNA(MATCH($H650,Buffers!$AE:$AE,0)),"Not on Buffers",IF(NOT(ISNUMBER($B650)),"Needs a date",IF(INT($B650)&lt;PlanDate,"Past due",IF(INT($B650)=PlanDate,"Due today",IF(AND(INDEX(Buffers!$L:$L,MATCH($H650,Buffers!$AE:$AE,0))="Planned",$E650&gt;0,INT($B650)&lt;=PlanDate+ROUNDUP(IF(ISNUMBER(SpikeHorizon),SpikeHorizon,INDEX(Buffers!$D:$D,MATCH($H650,Buffers!$AE:$AE,0))),0),$E650&gt;=SpikePct*INDEX(Buffers!$P:$P,MATCH($H650,Buffers!$AE:$AE,0))),"Spike","Not qualified"))))))</f>
        <v/>
      </c>
      <c r="G650" s="8" t="str">
        <f aca="false">IF($A650="","",IF(OR($F650="Past due",$F650="Due today",$F650="Spike"),$C650,0))</f>
        <v/>
      </c>
      <c r="H650" s="8" t="str">
        <f aca="false">IF($A650="","",SUBSTITUTE(SUBSTITUTE(SUBSTITUTE($A650&amp;"","~","~~"),"*","~*"),"?","~?"))</f>
        <v/>
      </c>
    </row>
    <row r="651" customFormat="false" ht="15" hidden="false" customHeight="false" outlineLevel="0" collapsed="false">
      <c r="A651" s="11"/>
      <c r="B651" s="6"/>
      <c r="C651" s="11"/>
      <c r="D651" s="11"/>
      <c r="E651" s="8" t="str">
        <f aca="false">IF($A651="","",SUMIFS($C:$C,$A:$A,$H651,$B:$B,"&gt;="&amp;INT($B651),$B:$B,"&lt;"&amp;(INT($B651)+1)))</f>
        <v/>
      </c>
      <c r="F651" s="19" t="str">
        <f aca="false">IF($A651="","",IF(ISNA(MATCH($H651,Buffers!$AE:$AE,0)),"Not on Buffers",IF(NOT(ISNUMBER($B651)),"Needs a date",IF(INT($B651)&lt;PlanDate,"Past due",IF(INT($B651)=PlanDate,"Due today",IF(AND(INDEX(Buffers!$L:$L,MATCH($H651,Buffers!$AE:$AE,0))="Planned",$E651&gt;0,INT($B651)&lt;=PlanDate+ROUNDUP(IF(ISNUMBER(SpikeHorizon),SpikeHorizon,INDEX(Buffers!$D:$D,MATCH($H651,Buffers!$AE:$AE,0))),0),$E651&gt;=SpikePct*INDEX(Buffers!$P:$P,MATCH($H651,Buffers!$AE:$AE,0))),"Spike","Not qualified"))))))</f>
        <v/>
      </c>
      <c r="G651" s="8" t="str">
        <f aca="false">IF($A651="","",IF(OR($F651="Past due",$F651="Due today",$F651="Spike"),$C651,0))</f>
        <v/>
      </c>
      <c r="H651" s="8" t="str">
        <f aca="false">IF($A651="","",SUBSTITUTE(SUBSTITUTE(SUBSTITUTE($A651&amp;"","~","~~"),"*","~*"),"?","~?"))</f>
        <v/>
      </c>
    </row>
    <row r="652" customFormat="false" ht="15" hidden="false" customHeight="false" outlineLevel="0" collapsed="false">
      <c r="A652" s="11"/>
      <c r="B652" s="6"/>
      <c r="C652" s="11"/>
      <c r="D652" s="11"/>
      <c r="E652" s="8" t="str">
        <f aca="false">IF($A652="","",SUMIFS($C:$C,$A:$A,$H652,$B:$B,"&gt;="&amp;INT($B652),$B:$B,"&lt;"&amp;(INT($B652)+1)))</f>
        <v/>
      </c>
      <c r="F652" s="19" t="str">
        <f aca="false">IF($A652="","",IF(ISNA(MATCH($H652,Buffers!$AE:$AE,0)),"Not on Buffers",IF(NOT(ISNUMBER($B652)),"Needs a date",IF(INT($B652)&lt;PlanDate,"Past due",IF(INT($B652)=PlanDate,"Due today",IF(AND(INDEX(Buffers!$L:$L,MATCH($H652,Buffers!$AE:$AE,0))="Planned",$E652&gt;0,INT($B652)&lt;=PlanDate+ROUNDUP(IF(ISNUMBER(SpikeHorizon),SpikeHorizon,INDEX(Buffers!$D:$D,MATCH($H652,Buffers!$AE:$AE,0))),0),$E652&gt;=SpikePct*INDEX(Buffers!$P:$P,MATCH($H652,Buffers!$AE:$AE,0))),"Spike","Not qualified"))))))</f>
        <v/>
      </c>
      <c r="G652" s="8" t="str">
        <f aca="false">IF($A652="","",IF(OR($F652="Past due",$F652="Due today",$F652="Spike"),$C652,0))</f>
        <v/>
      </c>
      <c r="H652" s="8" t="str">
        <f aca="false">IF($A652="","",SUBSTITUTE(SUBSTITUTE(SUBSTITUTE($A652&amp;"","~","~~"),"*","~*"),"?","~?"))</f>
        <v/>
      </c>
    </row>
    <row r="653" customFormat="false" ht="15" hidden="false" customHeight="false" outlineLevel="0" collapsed="false">
      <c r="A653" s="11"/>
      <c r="B653" s="6"/>
      <c r="C653" s="11"/>
      <c r="D653" s="11"/>
      <c r="E653" s="8" t="str">
        <f aca="false">IF($A653="","",SUMIFS($C:$C,$A:$A,$H653,$B:$B,"&gt;="&amp;INT($B653),$B:$B,"&lt;"&amp;(INT($B653)+1)))</f>
        <v/>
      </c>
      <c r="F653" s="19" t="str">
        <f aca="false">IF($A653="","",IF(ISNA(MATCH($H653,Buffers!$AE:$AE,0)),"Not on Buffers",IF(NOT(ISNUMBER($B653)),"Needs a date",IF(INT($B653)&lt;PlanDate,"Past due",IF(INT($B653)=PlanDate,"Due today",IF(AND(INDEX(Buffers!$L:$L,MATCH($H653,Buffers!$AE:$AE,0))="Planned",$E653&gt;0,INT($B653)&lt;=PlanDate+ROUNDUP(IF(ISNUMBER(SpikeHorizon),SpikeHorizon,INDEX(Buffers!$D:$D,MATCH($H653,Buffers!$AE:$AE,0))),0),$E653&gt;=SpikePct*INDEX(Buffers!$P:$P,MATCH($H653,Buffers!$AE:$AE,0))),"Spike","Not qualified"))))))</f>
        <v/>
      </c>
      <c r="G653" s="8" t="str">
        <f aca="false">IF($A653="","",IF(OR($F653="Past due",$F653="Due today",$F653="Spike"),$C653,0))</f>
        <v/>
      </c>
      <c r="H653" s="8" t="str">
        <f aca="false">IF($A653="","",SUBSTITUTE(SUBSTITUTE(SUBSTITUTE($A653&amp;"","~","~~"),"*","~*"),"?","~?"))</f>
        <v/>
      </c>
    </row>
    <row r="654" customFormat="false" ht="15" hidden="false" customHeight="false" outlineLevel="0" collapsed="false">
      <c r="A654" s="11"/>
      <c r="B654" s="6"/>
      <c r="C654" s="11"/>
      <c r="D654" s="11"/>
      <c r="E654" s="8" t="str">
        <f aca="false">IF($A654="","",SUMIFS($C:$C,$A:$A,$H654,$B:$B,"&gt;="&amp;INT($B654),$B:$B,"&lt;"&amp;(INT($B654)+1)))</f>
        <v/>
      </c>
      <c r="F654" s="19" t="str">
        <f aca="false">IF($A654="","",IF(ISNA(MATCH($H654,Buffers!$AE:$AE,0)),"Not on Buffers",IF(NOT(ISNUMBER($B654)),"Needs a date",IF(INT($B654)&lt;PlanDate,"Past due",IF(INT($B654)=PlanDate,"Due today",IF(AND(INDEX(Buffers!$L:$L,MATCH($H654,Buffers!$AE:$AE,0))="Planned",$E654&gt;0,INT($B654)&lt;=PlanDate+ROUNDUP(IF(ISNUMBER(SpikeHorizon),SpikeHorizon,INDEX(Buffers!$D:$D,MATCH($H654,Buffers!$AE:$AE,0))),0),$E654&gt;=SpikePct*INDEX(Buffers!$P:$P,MATCH($H654,Buffers!$AE:$AE,0))),"Spike","Not qualified"))))))</f>
        <v/>
      </c>
      <c r="G654" s="8" t="str">
        <f aca="false">IF($A654="","",IF(OR($F654="Past due",$F654="Due today",$F654="Spike"),$C654,0))</f>
        <v/>
      </c>
      <c r="H654" s="8" t="str">
        <f aca="false">IF($A654="","",SUBSTITUTE(SUBSTITUTE(SUBSTITUTE($A654&amp;"","~","~~"),"*","~*"),"?","~?"))</f>
        <v/>
      </c>
    </row>
    <row r="655" customFormat="false" ht="15" hidden="false" customHeight="false" outlineLevel="0" collapsed="false">
      <c r="A655" s="11"/>
      <c r="B655" s="6"/>
      <c r="C655" s="11"/>
      <c r="D655" s="11"/>
      <c r="E655" s="8" t="str">
        <f aca="false">IF($A655="","",SUMIFS($C:$C,$A:$A,$H655,$B:$B,"&gt;="&amp;INT($B655),$B:$B,"&lt;"&amp;(INT($B655)+1)))</f>
        <v/>
      </c>
      <c r="F655" s="19" t="str">
        <f aca="false">IF($A655="","",IF(ISNA(MATCH($H655,Buffers!$AE:$AE,0)),"Not on Buffers",IF(NOT(ISNUMBER($B655)),"Needs a date",IF(INT($B655)&lt;PlanDate,"Past due",IF(INT($B655)=PlanDate,"Due today",IF(AND(INDEX(Buffers!$L:$L,MATCH($H655,Buffers!$AE:$AE,0))="Planned",$E655&gt;0,INT($B655)&lt;=PlanDate+ROUNDUP(IF(ISNUMBER(SpikeHorizon),SpikeHorizon,INDEX(Buffers!$D:$D,MATCH($H655,Buffers!$AE:$AE,0))),0),$E655&gt;=SpikePct*INDEX(Buffers!$P:$P,MATCH($H655,Buffers!$AE:$AE,0))),"Spike","Not qualified"))))))</f>
        <v/>
      </c>
      <c r="G655" s="8" t="str">
        <f aca="false">IF($A655="","",IF(OR($F655="Past due",$F655="Due today",$F655="Spike"),$C655,0))</f>
        <v/>
      </c>
      <c r="H655" s="8" t="str">
        <f aca="false">IF($A655="","",SUBSTITUTE(SUBSTITUTE(SUBSTITUTE($A655&amp;"","~","~~"),"*","~*"),"?","~?"))</f>
        <v/>
      </c>
    </row>
    <row r="656" customFormat="false" ht="15" hidden="false" customHeight="false" outlineLevel="0" collapsed="false">
      <c r="A656" s="11"/>
      <c r="B656" s="6"/>
      <c r="C656" s="11"/>
      <c r="D656" s="11"/>
      <c r="E656" s="8" t="str">
        <f aca="false">IF($A656="","",SUMIFS($C:$C,$A:$A,$H656,$B:$B,"&gt;="&amp;INT($B656),$B:$B,"&lt;"&amp;(INT($B656)+1)))</f>
        <v/>
      </c>
      <c r="F656" s="19" t="str">
        <f aca="false">IF($A656="","",IF(ISNA(MATCH($H656,Buffers!$AE:$AE,0)),"Not on Buffers",IF(NOT(ISNUMBER($B656)),"Needs a date",IF(INT($B656)&lt;PlanDate,"Past due",IF(INT($B656)=PlanDate,"Due today",IF(AND(INDEX(Buffers!$L:$L,MATCH($H656,Buffers!$AE:$AE,0))="Planned",$E656&gt;0,INT($B656)&lt;=PlanDate+ROUNDUP(IF(ISNUMBER(SpikeHorizon),SpikeHorizon,INDEX(Buffers!$D:$D,MATCH($H656,Buffers!$AE:$AE,0))),0),$E656&gt;=SpikePct*INDEX(Buffers!$P:$P,MATCH($H656,Buffers!$AE:$AE,0))),"Spike","Not qualified"))))))</f>
        <v/>
      </c>
      <c r="G656" s="8" t="str">
        <f aca="false">IF($A656="","",IF(OR($F656="Past due",$F656="Due today",$F656="Spike"),$C656,0))</f>
        <v/>
      </c>
      <c r="H656" s="8" t="str">
        <f aca="false">IF($A656="","",SUBSTITUTE(SUBSTITUTE(SUBSTITUTE($A656&amp;"","~","~~"),"*","~*"),"?","~?"))</f>
        <v/>
      </c>
    </row>
    <row r="657" customFormat="false" ht="15" hidden="false" customHeight="false" outlineLevel="0" collapsed="false">
      <c r="A657" s="11"/>
      <c r="B657" s="6"/>
      <c r="C657" s="11"/>
      <c r="D657" s="11"/>
      <c r="E657" s="8" t="str">
        <f aca="false">IF($A657="","",SUMIFS($C:$C,$A:$A,$H657,$B:$B,"&gt;="&amp;INT($B657),$B:$B,"&lt;"&amp;(INT($B657)+1)))</f>
        <v/>
      </c>
      <c r="F657" s="19" t="str">
        <f aca="false">IF($A657="","",IF(ISNA(MATCH($H657,Buffers!$AE:$AE,0)),"Not on Buffers",IF(NOT(ISNUMBER($B657)),"Needs a date",IF(INT($B657)&lt;PlanDate,"Past due",IF(INT($B657)=PlanDate,"Due today",IF(AND(INDEX(Buffers!$L:$L,MATCH($H657,Buffers!$AE:$AE,0))="Planned",$E657&gt;0,INT($B657)&lt;=PlanDate+ROUNDUP(IF(ISNUMBER(SpikeHorizon),SpikeHorizon,INDEX(Buffers!$D:$D,MATCH($H657,Buffers!$AE:$AE,0))),0),$E657&gt;=SpikePct*INDEX(Buffers!$P:$P,MATCH($H657,Buffers!$AE:$AE,0))),"Spike","Not qualified"))))))</f>
        <v/>
      </c>
      <c r="G657" s="8" t="str">
        <f aca="false">IF($A657="","",IF(OR($F657="Past due",$F657="Due today",$F657="Spike"),$C657,0))</f>
        <v/>
      </c>
      <c r="H657" s="8" t="str">
        <f aca="false">IF($A657="","",SUBSTITUTE(SUBSTITUTE(SUBSTITUTE($A657&amp;"","~","~~"),"*","~*"),"?","~?"))</f>
        <v/>
      </c>
    </row>
    <row r="658" customFormat="false" ht="15" hidden="false" customHeight="false" outlineLevel="0" collapsed="false">
      <c r="A658" s="11"/>
      <c r="B658" s="6"/>
      <c r="C658" s="11"/>
      <c r="D658" s="11"/>
      <c r="E658" s="8" t="str">
        <f aca="false">IF($A658="","",SUMIFS($C:$C,$A:$A,$H658,$B:$B,"&gt;="&amp;INT($B658),$B:$B,"&lt;"&amp;(INT($B658)+1)))</f>
        <v/>
      </c>
      <c r="F658" s="19" t="str">
        <f aca="false">IF($A658="","",IF(ISNA(MATCH($H658,Buffers!$AE:$AE,0)),"Not on Buffers",IF(NOT(ISNUMBER($B658)),"Needs a date",IF(INT($B658)&lt;PlanDate,"Past due",IF(INT($B658)=PlanDate,"Due today",IF(AND(INDEX(Buffers!$L:$L,MATCH($H658,Buffers!$AE:$AE,0))="Planned",$E658&gt;0,INT($B658)&lt;=PlanDate+ROUNDUP(IF(ISNUMBER(SpikeHorizon),SpikeHorizon,INDEX(Buffers!$D:$D,MATCH($H658,Buffers!$AE:$AE,0))),0),$E658&gt;=SpikePct*INDEX(Buffers!$P:$P,MATCH($H658,Buffers!$AE:$AE,0))),"Spike","Not qualified"))))))</f>
        <v/>
      </c>
      <c r="G658" s="8" t="str">
        <f aca="false">IF($A658="","",IF(OR($F658="Past due",$F658="Due today",$F658="Spike"),$C658,0))</f>
        <v/>
      </c>
      <c r="H658" s="8" t="str">
        <f aca="false">IF($A658="","",SUBSTITUTE(SUBSTITUTE(SUBSTITUTE($A658&amp;"","~","~~"),"*","~*"),"?","~?"))</f>
        <v/>
      </c>
    </row>
    <row r="659" customFormat="false" ht="15" hidden="false" customHeight="false" outlineLevel="0" collapsed="false">
      <c r="A659" s="11"/>
      <c r="B659" s="6"/>
      <c r="C659" s="11"/>
      <c r="D659" s="11"/>
      <c r="E659" s="8" t="str">
        <f aca="false">IF($A659="","",SUMIFS($C:$C,$A:$A,$H659,$B:$B,"&gt;="&amp;INT($B659),$B:$B,"&lt;"&amp;(INT($B659)+1)))</f>
        <v/>
      </c>
      <c r="F659" s="19" t="str">
        <f aca="false">IF($A659="","",IF(ISNA(MATCH($H659,Buffers!$AE:$AE,0)),"Not on Buffers",IF(NOT(ISNUMBER($B659)),"Needs a date",IF(INT($B659)&lt;PlanDate,"Past due",IF(INT($B659)=PlanDate,"Due today",IF(AND(INDEX(Buffers!$L:$L,MATCH($H659,Buffers!$AE:$AE,0))="Planned",$E659&gt;0,INT($B659)&lt;=PlanDate+ROUNDUP(IF(ISNUMBER(SpikeHorizon),SpikeHorizon,INDEX(Buffers!$D:$D,MATCH($H659,Buffers!$AE:$AE,0))),0),$E659&gt;=SpikePct*INDEX(Buffers!$P:$P,MATCH($H659,Buffers!$AE:$AE,0))),"Spike","Not qualified"))))))</f>
        <v/>
      </c>
      <c r="G659" s="8" t="str">
        <f aca="false">IF($A659="","",IF(OR($F659="Past due",$F659="Due today",$F659="Spike"),$C659,0))</f>
        <v/>
      </c>
      <c r="H659" s="8" t="str">
        <f aca="false">IF($A659="","",SUBSTITUTE(SUBSTITUTE(SUBSTITUTE($A659&amp;"","~","~~"),"*","~*"),"?","~?"))</f>
        <v/>
      </c>
    </row>
    <row r="660" customFormat="false" ht="15" hidden="false" customHeight="false" outlineLevel="0" collapsed="false">
      <c r="A660" s="11"/>
      <c r="B660" s="6"/>
      <c r="C660" s="11"/>
      <c r="D660" s="11"/>
      <c r="E660" s="8" t="str">
        <f aca="false">IF($A660="","",SUMIFS($C:$C,$A:$A,$H660,$B:$B,"&gt;="&amp;INT($B660),$B:$B,"&lt;"&amp;(INT($B660)+1)))</f>
        <v/>
      </c>
      <c r="F660" s="19" t="str">
        <f aca="false">IF($A660="","",IF(ISNA(MATCH($H660,Buffers!$AE:$AE,0)),"Not on Buffers",IF(NOT(ISNUMBER($B660)),"Needs a date",IF(INT($B660)&lt;PlanDate,"Past due",IF(INT($B660)=PlanDate,"Due today",IF(AND(INDEX(Buffers!$L:$L,MATCH($H660,Buffers!$AE:$AE,0))="Planned",$E660&gt;0,INT($B660)&lt;=PlanDate+ROUNDUP(IF(ISNUMBER(SpikeHorizon),SpikeHorizon,INDEX(Buffers!$D:$D,MATCH($H660,Buffers!$AE:$AE,0))),0),$E660&gt;=SpikePct*INDEX(Buffers!$P:$P,MATCH($H660,Buffers!$AE:$AE,0))),"Spike","Not qualified"))))))</f>
        <v/>
      </c>
      <c r="G660" s="8" t="str">
        <f aca="false">IF($A660="","",IF(OR($F660="Past due",$F660="Due today",$F660="Spike"),$C660,0))</f>
        <v/>
      </c>
      <c r="H660" s="8" t="str">
        <f aca="false">IF($A660="","",SUBSTITUTE(SUBSTITUTE(SUBSTITUTE($A660&amp;"","~","~~"),"*","~*"),"?","~?"))</f>
        <v/>
      </c>
    </row>
    <row r="661" customFormat="false" ht="15" hidden="false" customHeight="false" outlineLevel="0" collapsed="false">
      <c r="A661" s="11"/>
      <c r="B661" s="6"/>
      <c r="C661" s="11"/>
      <c r="D661" s="11"/>
      <c r="E661" s="8" t="str">
        <f aca="false">IF($A661="","",SUMIFS($C:$C,$A:$A,$H661,$B:$B,"&gt;="&amp;INT($B661),$B:$B,"&lt;"&amp;(INT($B661)+1)))</f>
        <v/>
      </c>
      <c r="F661" s="19" t="str">
        <f aca="false">IF($A661="","",IF(ISNA(MATCH($H661,Buffers!$AE:$AE,0)),"Not on Buffers",IF(NOT(ISNUMBER($B661)),"Needs a date",IF(INT($B661)&lt;PlanDate,"Past due",IF(INT($B661)=PlanDate,"Due today",IF(AND(INDEX(Buffers!$L:$L,MATCH($H661,Buffers!$AE:$AE,0))="Planned",$E661&gt;0,INT($B661)&lt;=PlanDate+ROUNDUP(IF(ISNUMBER(SpikeHorizon),SpikeHorizon,INDEX(Buffers!$D:$D,MATCH($H661,Buffers!$AE:$AE,0))),0),$E661&gt;=SpikePct*INDEX(Buffers!$P:$P,MATCH($H661,Buffers!$AE:$AE,0))),"Spike","Not qualified"))))))</f>
        <v/>
      </c>
      <c r="G661" s="8" t="str">
        <f aca="false">IF($A661="","",IF(OR($F661="Past due",$F661="Due today",$F661="Spike"),$C661,0))</f>
        <v/>
      </c>
      <c r="H661" s="8" t="str">
        <f aca="false">IF($A661="","",SUBSTITUTE(SUBSTITUTE(SUBSTITUTE($A661&amp;"","~","~~"),"*","~*"),"?","~?"))</f>
        <v/>
      </c>
    </row>
    <row r="662" customFormat="false" ht="15" hidden="false" customHeight="false" outlineLevel="0" collapsed="false">
      <c r="A662" s="11"/>
      <c r="B662" s="6"/>
      <c r="C662" s="11"/>
      <c r="D662" s="11"/>
      <c r="E662" s="8" t="str">
        <f aca="false">IF($A662="","",SUMIFS($C:$C,$A:$A,$H662,$B:$B,"&gt;="&amp;INT($B662),$B:$B,"&lt;"&amp;(INT($B662)+1)))</f>
        <v/>
      </c>
      <c r="F662" s="19" t="str">
        <f aca="false">IF($A662="","",IF(ISNA(MATCH($H662,Buffers!$AE:$AE,0)),"Not on Buffers",IF(NOT(ISNUMBER($B662)),"Needs a date",IF(INT($B662)&lt;PlanDate,"Past due",IF(INT($B662)=PlanDate,"Due today",IF(AND(INDEX(Buffers!$L:$L,MATCH($H662,Buffers!$AE:$AE,0))="Planned",$E662&gt;0,INT($B662)&lt;=PlanDate+ROUNDUP(IF(ISNUMBER(SpikeHorizon),SpikeHorizon,INDEX(Buffers!$D:$D,MATCH($H662,Buffers!$AE:$AE,0))),0),$E662&gt;=SpikePct*INDEX(Buffers!$P:$P,MATCH($H662,Buffers!$AE:$AE,0))),"Spike","Not qualified"))))))</f>
        <v/>
      </c>
      <c r="G662" s="8" t="str">
        <f aca="false">IF($A662="","",IF(OR($F662="Past due",$F662="Due today",$F662="Spike"),$C662,0))</f>
        <v/>
      </c>
      <c r="H662" s="8" t="str">
        <f aca="false">IF($A662="","",SUBSTITUTE(SUBSTITUTE(SUBSTITUTE($A662&amp;"","~","~~"),"*","~*"),"?","~?"))</f>
        <v/>
      </c>
    </row>
    <row r="663" customFormat="false" ht="15" hidden="false" customHeight="false" outlineLevel="0" collapsed="false">
      <c r="A663" s="11"/>
      <c r="B663" s="6"/>
      <c r="C663" s="11"/>
      <c r="D663" s="11"/>
      <c r="E663" s="8" t="str">
        <f aca="false">IF($A663="","",SUMIFS($C:$C,$A:$A,$H663,$B:$B,"&gt;="&amp;INT($B663),$B:$B,"&lt;"&amp;(INT($B663)+1)))</f>
        <v/>
      </c>
      <c r="F663" s="19" t="str">
        <f aca="false">IF($A663="","",IF(ISNA(MATCH($H663,Buffers!$AE:$AE,0)),"Not on Buffers",IF(NOT(ISNUMBER($B663)),"Needs a date",IF(INT($B663)&lt;PlanDate,"Past due",IF(INT($B663)=PlanDate,"Due today",IF(AND(INDEX(Buffers!$L:$L,MATCH($H663,Buffers!$AE:$AE,0))="Planned",$E663&gt;0,INT($B663)&lt;=PlanDate+ROUNDUP(IF(ISNUMBER(SpikeHorizon),SpikeHorizon,INDEX(Buffers!$D:$D,MATCH($H663,Buffers!$AE:$AE,0))),0),$E663&gt;=SpikePct*INDEX(Buffers!$P:$P,MATCH($H663,Buffers!$AE:$AE,0))),"Spike","Not qualified"))))))</f>
        <v/>
      </c>
      <c r="G663" s="8" t="str">
        <f aca="false">IF($A663="","",IF(OR($F663="Past due",$F663="Due today",$F663="Spike"),$C663,0))</f>
        <v/>
      </c>
      <c r="H663" s="8" t="str">
        <f aca="false">IF($A663="","",SUBSTITUTE(SUBSTITUTE(SUBSTITUTE($A663&amp;"","~","~~"),"*","~*"),"?","~?"))</f>
        <v/>
      </c>
    </row>
    <row r="664" customFormat="false" ht="15" hidden="false" customHeight="false" outlineLevel="0" collapsed="false">
      <c r="A664" s="11"/>
      <c r="B664" s="6"/>
      <c r="C664" s="11"/>
      <c r="D664" s="11"/>
      <c r="E664" s="8" t="str">
        <f aca="false">IF($A664="","",SUMIFS($C:$C,$A:$A,$H664,$B:$B,"&gt;="&amp;INT($B664),$B:$B,"&lt;"&amp;(INT($B664)+1)))</f>
        <v/>
      </c>
      <c r="F664" s="19" t="str">
        <f aca="false">IF($A664="","",IF(ISNA(MATCH($H664,Buffers!$AE:$AE,0)),"Not on Buffers",IF(NOT(ISNUMBER($B664)),"Needs a date",IF(INT($B664)&lt;PlanDate,"Past due",IF(INT($B664)=PlanDate,"Due today",IF(AND(INDEX(Buffers!$L:$L,MATCH($H664,Buffers!$AE:$AE,0))="Planned",$E664&gt;0,INT($B664)&lt;=PlanDate+ROUNDUP(IF(ISNUMBER(SpikeHorizon),SpikeHorizon,INDEX(Buffers!$D:$D,MATCH($H664,Buffers!$AE:$AE,0))),0),$E664&gt;=SpikePct*INDEX(Buffers!$P:$P,MATCH($H664,Buffers!$AE:$AE,0))),"Spike","Not qualified"))))))</f>
        <v/>
      </c>
      <c r="G664" s="8" t="str">
        <f aca="false">IF($A664="","",IF(OR($F664="Past due",$F664="Due today",$F664="Spike"),$C664,0))</f>
        <v/>
      </c>
      <c r="H664" s="8" t="str">
        <f aca="false">IF($A664="","",SUBSTITUTE(SUBSTITUTE(SUBSTITUTE($A664&amp;"","~","~~"),"*","~*"),"?","~?"))</f>
        <v/>
      </c>
    </row>
    <row r="665" customFormat="false" ht="15" hidden="false" customHeight="false" outlineLevel="0" collapsed="false">
      <c r="A665" s="11"/>
      <c r="B665" s="6"/>
      <c r="C665" s="11"/>
      <c r="D665" s="11"/>
      <c r="E665" s="8" t="str">
        <f aca="false">IF($A665="","",SUMIFS($C:$C,$A:$A,$H665,$B:$B,"&gt;="&amp;INT($B665),$B:$B,"&lt;"&amp;(INT($B665)+1)))</f>
        <v/>
      </c>
      <c r="F665" s="19" t="str">
        <f aca="false">IF($A665="","",IF(ISNA(MATCH($H665,Buffers!$AE:$AE,0)),"Not on Buffers",IF(NOT(ISNUMBER($B665)),"Needs a date",IF(INT($B665)&lt;PlanDate,"Past due",IF(INT($B665)=PlanDate,"Due today",IF(AND(INDEX(Buffers!$L:$L,MATCH($H665,Buffers!$AE:$AE,0))="Planned",$E665&gt;0,INT($B665)&lt;=PlanDate+ROUNDUP(IF(ISNUMBER(SpikeHorizon),SpikeHorizon,INDEX(Buffers!$D:$D,MATCH($H665,Buffers!$AE:$AE,0))),0),$E665&gt;=SpikePct*INDEX(Buffers!$P:$P,MATCH($H665,Buffers!$AE:$AE,0))),"Spike","Not qualified"))))))</f>
        <v/>
      </c>
      <c r="G665" s="8" t="str">
        <f aca="false">IF($A665="","",IF(OR($F665="Past due",$F665="Due today",$F665="Spike"),$C665,0))</f>
        <v/>
      </c>
      <c r="H665" s="8" t="str">
        <f aca="false">IF($A665="","",SUBSTITUTE(SUBSTITUTE(SUBSTITUTE($A665&amp;"","~","~~"),"*","~*"),"?","~?"))</f>
        <v/>
      </c>
    </row>
    <row r="666" customFormat="false" ht="15" hidden="false" customHeight="false" outlineLevel="0" collapsed="false">
      <c r="A666" s="11"/>
      <c r="B666" s="6"/>
      <c r="C666" s="11"/>
      <c r="D666" s="11"/>
      <c r="E666" s="8" t="str">
        <f aca="false">IF($A666="","",SUMIFS($C:$C,$A:$A,$H666,$B:$B,"&gt;="&amp;INT($B666),$B:$B,"&lt;"&amp;(INT($B666)+1)))</f>
        <v/>
      </c>
      <c r="F666" s="19" t="str">
        <f aca="false">IF($A666="","",IF(ISNA(MATCH($H666,Buffers!$AE:$AE,0)),"Not on Buffers",IF(NOT(ISNUMBER($B666)),"Needs a date",IF(INT($B666)&lt;PlanDate,"Past due",IF(INT($B666)=PlanDate,"Due today",IF(AND(INDEX(Buffers!$L:$L,MATCH($H666,Buffers!$AE:$AE,0))="Planned",$E666&gt;0,INT($B666)&lt;=PlanDate+ROUNDUP(IF(ISNUMBER(SpikeHorizon),SpikeHorizon,INDEX(Buffers!$D:$D,MATCH($H666,Buffers!$AE:$AE,0))),0),$E666&gt;=SpikePct*INDEX(Buffers!$P:$P,MATCH($H666,Buffers!$AE:$AE,0))),"Spike","Not qualified"))))))</f>
        <v/>
      </c>
      <c r="G666" s="8" t="str">
        <f aca="false">IF($A666="","",IF(OR($F666="Past due",$F666="Due today",$F666="Spike"),$C666,0))</f>
        <v/>
      </c>
      <c r="H666" s="8" t="str">
        <f aca="false">IF($A666="","",SUBSTITUTE(SUBSTITUTE(SUBSTITUTE($A666&amp;"","~","~~"),"*","~*"),"?","~?"))</f>
        <v/>
      </c>
    </row>
    <row r="667" customFormat="false" ht="15" hidden="false" customHeight="false" outlineLevel="0" collapsed="false">
      <c r="A667" s="11"/>
      <c r="B667" s="6"/>
      <c r="C667" s="11"/>
      <c r="D667" s="11"/>
      <c r="E667" s="8" t="str">
        <f aca="false">IF($A667="","",SUMIFS($C:$C,$A:$A,$H667,$B:$B,"&gt;="&amp;INT($B667),$B:$B,"&lt;"&amp;(INT($B667)+1)))</f>
        <v/>
      </c>
      <c r="F667" s="19" t="str">
        <f aca="false">IF($A667="","",IF(ISNA(MATCH($H667,Buffers!$AE:$AE,0)),"Not on Buffers",IF(NOT(ISNUMBER($B667)),"Needs a date",IF(INT($B667)&lt;PlanDate,"Past due",IF(INT($B667)=PlanDate,"Due today",IF(AND(INDEX(Buffers!$L:$L,MATCH($H667,Buffers!$AE:$AE,0))="Planned",$E667&gt;0,INT($B667)&lt;=PlanDate+ROUNDUP(IF(ISNUMBER(SpikeHorizon),SpikeHorizon,INDEX(Buffers!$D:$D,MATCH($H667,Buffers!$AE:$AE,0))),0),$E667&gt;=SpikePct*INDEX(Buffers!$P:$P,MATCH($H667,Buffers!$AE:$AE,0))),"Spike","Not qualified"))))))</f>
        <v/>
      </c>
      <c r="G667" s="8" t="str">
        <f aca="false">IF($A667="","",IF(OR($F667="Past due",$F667="Due today",$F667="Spike"),$C667,0))</f>
        <v/>
      </c>
      <c r="H667" s="8" t="str">
        <f aca="false">IF($A667="","",SUBSTITUTE(SUBSTITUTE(SUBSTITUTE($A667&amp;"","~","~~"),"*","~*"),"?","~?"))</f>
        <v/>
      </c>
    </row>
    <row r="668" customFormat="false" ht="15" hidden="false" customHeight="false" outlineLevel="0" collapsed="false">
      <c r="A668" s="11"/>
      <c r="B668" s="6"/>
      <c r="C668" s="11"/>
      <c r="D668" s="11"/>
      <c r="E668" s="8" t="str">
        <f aca="false">IF($A668="","",SUMIFS($C:$C,$A:$A,$H668,$B:$B,"&gt;="&amp;INT($B668),$B:$B,"&lt;"&amp;(INT($B668)+1)))</f>
        <v/>
      </c>
      <c r="F668" s="19" t="str">
        <f aca="false">IF($A668="","",IF(ISNA(MATCH($H668,Buffers!$AE:$AE,0)),"Not on Buffers",IF(NOT(ISNUMBER($B668)),"Needs a date",IF(INT($B668)&lt;PlanDate,"Past due",IF(INT($B668)=PlanDate,"Due today",IF(AND(INDEX(Buffers!$L:$L,MATCH($H668,Buffers!$AE:$AE,0))="Planned",$E668&gt;0,INT($B668)&lt;=PlanDate+ROUNDUP(IF(ISNUMBER(SpikeHorizon),SpikeHorizon,INDEX(Buffers!$D:$D,MATCH($H668,Buffers!$AE:$AE,0))),0),$E668&gt;=SpikePct*INDEX(Buffers!$P:$P,MATCH($H668,Buffers!$AE:$AE,0))),"Spike","Not qualified"))))))</f>
        <v/>
      </c>
      <c r="G668" s="8" t="str">
        <f aca="false">IF($A668="","",IF(OR($F668="Past due",$F668="Due today",$F668="Spike"),$C668,0))</f>
        <v/>
      </c>
      <c r="H668" s="8" t="str">
        <f aca="false">IF($A668="","",SUBSTITUTE(SUBSTITUTE(SUBSTITUTE($A668&amp;"","~","~~"),"*","~*"),"?","~?"))</f>
        <v/>
      </c>
    </row>
    <row r="669" customFormat="false" ht="15" hidden="false" customHeight="false" outlineLevel="0" collapsed="false">
      <c r="A669" s="11"/>
      <c r="B669" s="6"/>
      <c r="C669" s="11"/>
      <c r="D669" s="11"/>
      <c r="E669" s="8" t="str">
        <f aca="false">IF($A669="","",SUMIFS($C:$C,$A:$A,$H669,$B:$B,"&gt;="&amp;INT($B669),$B:$B,"&lt;"&amp;(INT($B669)+1)))</f>
        <v/>
      </c>
      <c r="F669" s="19" t="str">
        <f aca="false">IF($A669="","",IF(ISNA(MATCH($H669,Buffers!$AE:$AE,0)),"Not on Buffers",IF(NOT(ISNUMBER($B669)),"Needs a date",IF(INT($B669)&lt;PlanDate,"Past due",IF(INT($B669)=PlanDate,"Due today",IF(AND(INDEX(Buffers!$L:$L,MATCH($H669,Buffers!$AE:$AE,0))="Planned",$E669&gt;0,INT($B669)&lt;=PlanDate+ROUNDUP(IF(ISNUMBER(SpikeHorizon),SpikeHorizon,INDEX(Buffers!$D:$D,MATCH($H669,Buffers!$AE:$AE,0))),0),$E669&gt;=SpikePct*INDEX(Buffers!$P:$P,MATCH($H669,Buffers!$AE:$AE,0))),"Spike","Not qualified"))))))</f>
        <v/>
      </c>
      <c r="G669" s="8" t="str">
        <f aca="false">IF($A669="","",IF(OR($F669="Past due",$F669="Due today",$F669="Spike"),$C669,0))</f>
        <v/>
      </c>
      <c r="H669" s="8" t="str">
        <f aca="false">IF($A669="","",SUBSTITUTE(SUBSTITUTE(SUBSTITUTE($A669&amp;"","~","~~"),"*","~*"),"?","~?"))</f>
        <v/>
      </c>
    </row>
    <row r="670" customFormat="false" ht="15" hidden="false" customHeight="false" outlineLevel="0" collapsed="false">
      <c r="A670" s="11"/>
      <c r="B670" s="6"/>
      <c r="C670" s="11"/>
      <c r="D670" s="11"/>
      <c r="E670" s="8" t="str">
        <f aca="false">IF($A670="","",SUMIFS($C:$C,$A:$A,$H670,$B:$B,"&gt;="&amp;INT($B670),$B:$B,"&lt;"&amp;(INT($B670)+1)))</f>
        <v/>
      </c>
      <c r="F670" s="19" t="str">
        <f aca="false">IF($A670="","",IF(ISNA(MATCH($H670,Buffers!$AE:$AE,0)),"Not on Buffers",IF(NOT(ISNUMBER($B670)),"Needs a date",IF(INT($B670)&lt;PlanDate,"Past due",IF(INT($B670)=PlanDate,"Due today",IF(AND(INDEX(Buffers!$L:$L,MATCH($H670,Buffers!$AE:$AE,0))="Planned",$E670&gt;0,INT($B670)&lt;=PlanDate+ROUNDUP(IF(ISNUMBER(SpikeHorizon),SpikeHorizon,INDEX(Buffers!$D:$D,MATCH($H670,Buffers!$AE:$AE,0))),0),$E670&gt;=SpikePct*INDEX(Buffers!$P:$P,MATCH($H670,Buffers!$AE:$AE,0))),"Spike","Not qualified"))))))</f>
        <v/>
      </c>
      <c r="G670" s="8" t="str">
        <f aca="false">IF($A670="","",IF(OR($F670="Past due",$F670="Due today",$F670="Spike"),$C670,0))</f>
        <v/>
      </c>
      <c r="H670" s="8" t="str">
        <f aca="false">IF($A670="","",SUBSTITUTE(SUBSTITUTE(SUBSTITUTE($A670&amp;"","~","~~"),"*","~*"),"?","~?"))</f>
        <v/>
      </c>
    </row>
    <row r="671" customFormat="false" ht="15" hidden="false" customHeight="false" outlineLevel="0" collapsed="false">
      <c r="A671" s="11"/>
      <c r="B671" s="6"/>
      <c r="C671" s="11"/>
      <c r="D671" s="11"/>
      <c r="E671" s="8" t="str">
        <f aca="false">IF($A671="","",SUMIFS($C:$C,$A:$A,$H671,$B:$B,"&gt;="&amp;INT($B671),$B:$B,"&lt;"&amp;(INT($B671)+1)))</f>
        <v/>
      </c>
      <c r="F671" s="19" t="str">
        <f aca="false">IF($A671="","",IF(ISNA(MATCH($H671,Buffers!$AE:$AE,0)),"Not on Buffers",IF(NOT(ISNUMBER($B671)),"Needs a date",IF(INT($B671)&lt;PlanDate,"Past due",IF(INT($B671)=PlanDate,"Due today",IF(AND(INDEX(Buffers!$L:$L,MATCH($H671,Buffers!$AE:$AE,0))="Planned",$E671&gt;0,INT($B671)&lt;=PlanDate+ROUNDUP(IF(ISNUMBER(SpikeHorizon),SpikeHorizon,INDEX(Buffers!$D:$D,MATCH($H671,Buffers!$AE:$AE,0))),0),$E671&gt;=SpikePct*INDEX(Buffers!$P:$P,MATCH($H671,Buffers!$AE:$AE,0))),"Spike","Not qualified"))))))</f>
        <v/>
      </c>
      <c r="G671" s="8" t="str">
        <f aca="false">IF($A671="","",IF(OR($F671="Past due",$F671="Due today",$F671="Spike"),$C671,0))</f>
        <v/>
      </c>
      <c r="H671" s="8" t="str">
        <f aca="false">IF($A671="","",SUBSTITUTE(SUBSTITUTE(SUBSTITUTE($A671&amp;"","~","~~"),"*","~*"),"?","~?"))</f>
        <v/>
      </c>
    </row>
    <row r="672" customFormat="false" ht="15" hidden="false" customHeight="false" outlineLevel="0" collapsed="false">
      <c r="A672" s="11"/>
      <c r="B672" s="6"/>
      <c r="C672" s="11"/>
      <c r="D672" s="11"/>
      <c r="E672" s="8" t="str">
        <f aca="false">IF($A672="","",SUMIFS($C:$C,$A:$A,$H672,$B:$B,"&gt;="&amp;INT($B672),$B:$B,"&lt;"&amp;(INT($B672)+1)))</f>
        <v/>
      </c>
      <c r="F672" s="19" t="str">
        <f aca="false">IF($A672="","",IF(ISNA(MATCH($H672,Buffers!$AE:$AE,0)),"Not on Buffers",IF(NOT(ISNUMBER($B672)),"Needs a date",IF(INT($B672)&lt;PlanDate,"Past due",IF(INT($B672)=PlanDate,"Due today",IF(AND(INDEX(Buffers!$L:$L,MATCH($H672,Buffers!$AE:$AE,0))="Planned",$E672&gt;0,INT($B672)&lt;=PlanDate+ROUNDUP(IF(ISNUMBER(SpikeHorizon),SpikeHorizon,INDEX(Buffers!$D:$D,MATCH($H672,Buffers!$AE:$AE,0))),0),$E672&gt;=SpikePct*INDEX(Buffers!$P:$P,MATCH($H672,Buffers!$AE:$AE,0))),"Spike","Not qualified"))))))</f>
        <v/>
      </c>
      <c r="G672" s="8" t="str">
        <f aca="false">IF($A672="","",IF(OR($F672="Past due",$F672="Due today",$F672="Spike"),$C672,0))</f>
        <v/>
      </c>
      <c r="H672" s="8" t="str">
        <f aca="false">IF($A672="","",SUBSTITUTE(SUBSTITUTE(SUBSTITUTE($A672&amp;"","~","~~"),"*","~*"),"?","~?"))</f>
        <v/>
      </c>
    </row>
    <row r="673" customFormat="false" ht="15" hidden="false" customHeight="false" outlineLevel="0" collapsed="false">
      <c r="A673" s="11"/>
      <c r="B673" s="6"/>
      <c r="C673" s="11"/>
      <c r="D673" s="11"/>
      <c r="E673" s="8" t="str">
        <f aca="false">IF($A673="","",SUMIFS($C:$C,$A:$A,$H673,$B:$B,"&gt;="&amp;INT($B673),$B:$B,"&lt;"&amp;(INT($B673)+1)))</f>
        <v/>
      </c>
      <c r="F673" s="19" t="str">
        <f aca="false">IF($A673="","",IF(ISNA(MATCH($H673,Buffers!$AE:$AE,0)),"Not on Buffers",IF(NOT(ISNUMBER($B673)),"Needs a date",IF(INT($B673)&lt;PlanDate,"Past due",IF(INT($B673)=PlanDate,"Due today",IF(AND(INDEX(Buffers!$L:$L,MATCH($H673,Buffers!$AE:$AE,0))="Planned",$E673&gt;0,INT($B673)&lt;=PlanDate+ROUNDUP(IF(ISNUMBER(SpikeHorizon),SpikeHorizon,INDEX(Buffers!$D:$D,MATCH($H673,Buffers!$AE:$AE,0))),0),$E673&gt;=SpikePct*INDEX(Buffers!$P:$P,MATCH($H673,Buffers!$AE:$AE,0))),"Spike","Not qualified"))))))</f>
        <v/>
      </c>
      <c r="G673" s="8" t="str">
        <f aca="false">IF($A673="","",IF(OR($F673="Past due",$F673="Due today",$F673="Spike"),$C673,0))</f>
        <v/>
      </c>
      <c r="H673" s="8" t="str">
        <f aca="false">IF($A673="","",SUBSTITUTE(SUBSTITUTE(SUBSTITUTE($A673&amp;"","~","~~"),"*","~*"),"?","~?"))</f>
        <v/>
      </c>
    </row>
    <row r="674" customFormat="false" ht="15" hidden="false" customHeight="false" outlineLevel="0" collapsed="false">
      <c r="A674" s="11"/>
      <c r="B674" s="6"/>
      <c r="C674" s="11"/>
      <c r="D674" s="11"/>
      <c r="E674" s="8" t="str">
        <f aca="false">IF($A674="","",SUMIFS($C:$C,$A:$A,$H674,$B:$B,"&gt;="&amp;INT($B674),$B:$B,"&lt;"&amp;(INT($B674)+1)))</f>
        <v/>
      </c>
      <c r="F674" s="19" t="str">
        <f aca="false">IF($A674="","",IF(ISNA(MATCH($H674,Buffers!$AE:$AE,0)),"Not on Buffers",IF(NOT(ISNUMBER($B674)),"Needs a date",IF(INT($B674)&lt;PlanDate,"Past due",IF(INT($B674)=PlanDate,"Due today",IF(AND(INDEX(Buffers!$L:$L,MATCH($H674,Buffers!$AE:$AE,0))="Planned",$E674&gt;0,INT($B674)&lt;=PlanDate+ROUNDUP(IF(ISNUMBER(SpikeHorizon),SpikeHorizon,INDEX(Buffers!$D:$D,MATCH($H674,Buffers!$AE:$AE,0))),0),$E674&gt;=SpikePct*INDEX(Buffers!$P:$P,MATCH($H674,Buffers!$AE:$AE,0))),"Spike","Not qualified"))))))</f>
        <v/>
      </c>
      <c r="G674" s="8" t="str">
        <f aca="false">IF($A674="","",IF(OR($F674="Past due",$F674="Due today",$F674="Spike"),$C674,0))</f>
        <v/>
      </c>
      <c r="H674" s="8" t="str">
        <f aca="false">IF($A674="","",SUBSTITUTE(SUBSTITUTE(SUBSTITUTE($A674&amp;"","~","~~"),"*","~*"),"?","~?"))</f>
        <v/>
      </c>
    </row>
    <row r="675" customFormat="false" ht="15" hidden="false" customHeight="false" outlineLevel="0" collapsed="false">
      <c r="A675" s="11"/>
      <c r="B675" s="6"/>
      <c r="C675" s="11"/>
      <c r="D675" s="11"/>
      <c r="E675" s="8" t="str">
        <f aca="false">IF($A675="","",SUMIFS($C:$C,$A:$A,$H675,$B:$B,"&gt;="&amp;INT($B675),$B:$B,"&lt;"&amp;(INT($B675)+1)))</f>
        <v/>
      </c>
      <c r="F675" s="19" t="str">
        <f aca="false">IF($A675="","",IF(ISNA(MATCH($H675,Buffers!$AE:$AE,0)),"Not on Buffers",IF(NOT(ISNUMBER($B675)),"Needs a date",IF(INT($B675)&lt;PlanDate,"Past due",IF(INT($B675)=PlanDate,"Due today",IF(AND(INDEX(Buffers!$L:$L,MATCH($H675,Buffers!$AE:$AE,0))="Planned",$E675&gt;0,INT($B675)&lt;=PlanDate+ROUNDUP(IF(ISNUMBER(SpikeHorizon),SpikeHorizon,INDEX(Buffers!$D:$D,MATCH($H675,Buffers!$AE:$AE,0))),0),$E675&gt;=SpikePct*INDEX(Buffers!$P:$P,MATCH($H675,Buffers!$AE:$AE,0))),"Spike","Not qualified"))))))</f>
        <v/>
      </c>
      <c r="G675" s="8" t="str">
        <f aca="false">IF($A675="","",IF(OR($F675="Past due",$F675="Due today",$F675="Spike"),$C675,0))</f>
        <v/>
      </c>
      <c r="H675" s="8" t="str">
        <f aca="false">IF($A675="","",SUBSTITUTE(SUBSTITUTE(SUBSTITUTE($A675&amp;"","~","~~"),"*","~*"),"?","~?"))</f>
        <v/>
      </c>
    </row>
    <row r="676" customFormat="false" ht="15" hidden="false" customHeight="false" outlineLevel="0" collapsed="false">
      <c r="A676" s="11"/>
      <c r="B676" s="6"/>
      <c r="C676" s="11"/>
      <c r="D676" s="11"/>
      <c r="E676" s="8" t="str">
        <f aca="false">IF($A676="","",SUMIFS($C:$C,$A:$A,$H676,$B:$B,"&gt;="&amp;INT($B676),$B:$B,"&lt;"&amp;(INT($B676)+1)))</f>
        <v/>
      </c>
      <c r="F676" s="19" t="str">
        <f aca="false">IF($A676="","",IF(ISNA(MATCH($H676,Buffers!$AE:$AE,0)),"Not on Buffers",IF(NOT(ISNUMBER($B676)),"Needs a date",IF(INT($B676)&lt;PlanDate,"Past due",IF(INT($B676)=PlanDate,"Due today",IF(AND(INDEX(Buffers!$L:$L,MATCH($H676,Buffers!$AE:$AE,0))="Planned",$E676&gt;0,INT($B676)&lt;=PlanDate+ROUNDUP(IF(ISNUMBER(SpikeHorizon),SpikeHorizon,INDEX(Buffers!$D:$D,MATCH($H676,Buffers!$AE:$AE,0))),0),$E676&gt;=SpikePct*INDEX(Buffers!$P:$P,MATCH($H676,Buffers!$AE:$AE,0))),"Spike","Not qualified"))))))</f>
        <v/>
      </c>
      <c r="G676" s="8" t="str">
        <f aca="false">IF($A676="","",IF(OR($F676="Past due",$F676="Due today",$F676="Spike"),$C676,0))</f>
        <v/>
      </c>
      <c r="H676" s="8" t="str">
        <f aca="false">IF($A676="","",SUBSTITUTE(SUBSTITUTE(SUBSTITUTE($A676&amp;"","~","~~"),"*","~*"),"?","~?"))</f>
        <v/>
      </c>
    </row>
    <row r="677" customFormat="false" ht="15" hidden="false" customHeight="false" outlineLevel="0" collapsed="false">
      <c r="A677" s="11"/>
      <c r="B677" s="6"/>
      <c r="C677" s="11"/>
      <c r="D677" s="11"/>
      <c r="E677" s="8" t="str">
        <f aca="false">IF($A677="","",SUMIFS($C:$C,$A:$A,$H677,$B:$B,"&gt;="&amp;INT($B677),$B:$B,"&lt;"&amp;(INT($B677)+1)))</f>
        <v/>
      </c>
      <c r="F677" s="19" t="str">
        <f aca="false">IF($A677="","",IF(ISNA(MATCH($H677,Buffers!$AE:$AE,0)),"Not on Buffers",IF(NOT(ISNUMBER($B677)),"Needs a date",IF(INT($B677)&lt;PlanDate,"Past due",IF(INT($B677)=PlanDate,"Due today",IF(AND(INDEX(Buffers!$L:$L,MATCH($H677,Buffers!$AE:$AE,0))="Planned",$E677&gt;0,INT($B677)&lt;=PlanDate+ROUNDUP(IF(ISNUMBER(SpikeHorizon),SpikeHorizon,INDEX(Buffers!$D:$D,MATCH($H677,Buffers!$AE:$AE,0))),0),$E677&gt;=SpikePct*INDEX(Buffers!$P:$P,MATCH($H677,Buffers!$AE:$AE,0))),"Spike","Not qualified"))))))</f>
        <v/>
      </c>
      <c r="G677" s="8" t="str">
        <f aca="false">IF($A677="","",IF(OR($F677="Past due",$F677="Due today",$F677="Spike"),$C677,0))</f>
        <v/>
      </c>
      <c r="H677" s="8" t="str">
        <f aca="false">IF($A677="","",SUBSTITUTE(SUBSTITUTE(SUBSTITUTE($A677&amp;"","~","~~"),"*","~*"),"?","~?"))</f>
        <v/>
      </c>
    </row>
    <row r="678" customFormat="false" ht="15" hidden="false" customHeight="false" outlineLevel="0" collapsed="false">
      <c r="A678" s="11"/>
      <c r="B678" s="6"/>
      <c r="C678" s="11"/>
      <c r="D678" s="11"/>
      <c r="E678" s="8" t="str">
        <f aca="false">IF($A678="","",SUMIFS($C:$C,$A:$A,$H678,$B:$B,"&gt;="&amp;INT($B678),$B:$B,"&lt;"&amp;(INT($B678)+1)))</f>
        <v/>
      </c>
      <c r="F678" s="19" t="str">
        <f aca="false">IF($A678="","",IF(ISNA(MATCH($H678,Buffers!$AE:$AE,0)),"Not on Buffers",IF(NOT(ISNUMBER($B678)),"Needs a date",IF(INT($B678)&lt;PlanDate,"Past due",IF(INT($B678)=PlanDate,"Due today",IF(AND(INDEX(Buffers!$L:$L,MATCH($H678,Buffers!$AE:$AE,0))="Planned",$E678&gt;0,INT($B678)&lt;=PlanDate+ROUNDUP(IF(ISNUMBER(SpikeHorizon),SpikeHorizon,INDEX(Buffers!$D:$D,MATCH($H678,Buffers!$AE:$AE,0))),0),$E678&gt;=SpikePct*INDEX(Buffers!$P:$P,MATCH($H678,Buffers!$AE:$AE,0))),"Spike","Not qualified"))))))</f>
        <v/>
      </c>
      <c r="G678" s="8" t="str">
        <f aca="false">IF($A678="","",IF(OR($F678="Past due",$F678="Due today",$F678="Spike"),$C678,0))</f>
        <v/>
      </c>
      <c r="H678" s="8" t="str">
        <f aca="false">IF($A678="","",SUBSTITUTE(SUBSTITUTE(SUBSTITUTE($A678&amp;"","~","~~"),"*","~*"),"?","~?"))</f>
        <v/>
      </c>
    </row>
    <row r="679" customFormat="false" ht="15" hidden="false" customHeight="false" outlineLevel="0" collapsed="false">
      <c r="A679" s="11"/>
      <c r="B679" s="6"/>
      <c r="C679" s="11"/>
      <c r="D679" s="11"/>
      <c r="E679" s="8" t="str">
        <f aca="false">IF($A679="","",SUMIFS($C:$C,$A:$A,$H679,$B:$B,"&gt;="&amp;INT($B679),$B:$B,"&lt;"&amp;(INT($B679)+1)))</f>
        <v/>
      </c>
      <c r="F679" s="19" t="str">
        <f aca="false">IF($A679="","",IF(ISNA(MATCH($H679,Buffers!$AE:$AE,0)),"Not on Buffers",IF(NOT(ISNUMBER($B679)),"Needs a date",IF(INT($B679)&lt;PlanDate,"Past due",IF(INT($B679)=PlanDate,"Due today",IF(AND(INDEX(Buffers!$L:$L,MATCH($H679,Buffers!$AE:$AE,0))="Planned",$E679&gt;0,INT($B679)&lt;=PlanDate+ROUNDUP(IF(ISNUMBER(SpikeHorizon),SpikeHorizon,INDEX(Buffers!$D:$D,MATCH($H679,Buffers!$AE:$AE,0))),0),$E679&gt;=SpikePct*INDEX(Buffers!$P:$P,MATCH($H679,Buffers!$AE:$AE,0))),"Spike","Not qualified"))))))</f>
        <v/>
      </c>
      <c r="G679" s="8" t="str">
        <f aca="false">IF($A679="","",IF(OR($F679="Past due",$F679="Due today",$F679="Spike"),$C679,0))</f>
        <v/>
      </c>
      <c r="H679" s="8" t="str">
        <f aca="false">IF($A679="","",SUBSTITUTE(SUBSTITUTE(SUBSTITUTE($A679&amp;"","~","~~"),"*","~*"),"?","~?"))</f>
        <v/>
      </c>
    </row>
    <row r="680" customFormat="false" ht="15" hidden="false" customHeight="false" outlineLevel="0" collapsed="false">
      <c r="A680" s="11"/>
      <c r="B680" s="6"/>
      <c r="C680" s="11"/>
      <c r="D680" s="11"/>
      <c r="E680" s="8" t="str">
        <f aca="false">IF($A680="","",SUMIFS($C:$C,$A:$A,$H680,$B:$B,"&gt;="&amp;INT($B680),$B:$B,"&lt;"&amp;(INT($B680)+1)))</f>
        <v/>
      </c>
      <c r="F680" s="19" t="str">
        <f aca="false">IF($A680="","",IF(ISNA(MATCH($H680,Buffers!$AE:$AE,0)),"Not on Buffers",IF(NOT(ISNUMBER($B680)),"Needs a date",IF(INT($B680)&lt;PlanDate,"Past due",IF(INT($B680)=PlanDate,"Due today",IF(AND(INDEX(Buffers!$L:$L,MATCH($H680,Buffers!$AE:$AE,0))="Planned",$E680&gt;0,INT($B680)&lt;=PlanDate+ROUNDUP(IF(ISNUMBER(SpikeHorizon),SpikeHorizon,INDEX(Buffers!$D:$D,MATCH($H680,Buffers!$AE:$AE,0))),0),$E680&gt;=SpikePct*INDEX(Buffers!$P:$P,MATCH($H680,Buffers!$AE:$AE,0))),"Spike","Not qualified"))))))</f>
        <v/>
      </c>
      <c r="G680" s="8" t="str">
        <f aca="false">IF($A680="","",IF(OR($F680="Past due",$F680="Due today",$F680="Spike"),$C680,0))</f>
        <v/>
      </c>
      <c r="H680" s="8" t="str">
        <f aca="false">IF($A680="","",SUBSTITUTE(SUBSTITUTE(SUBSTITUTE($A680&amp;"","~","~~"),"*","~*"),"?","~?"))</f>
        <v/>
      </c>
    </row>
    <row r="681" customFormat="false" ht="15" hidden="false" customHeight="false" outlineLevel="0" collapsed="false">
      <c r="A681" s="11"/>
      <c r="B681" s="6"/>
      <c r="C681" s="11"/>
      <c r="D681" s="11"/>
      <c r="E681" s="8" t="str">
        <f aca="false">IF($A681="","",SUMIFS($C:$C,$A:$A,$H681,$B:$B,"&gt;="&amp;INT($B681),$B:$B,"&lt;"&amp;(INT($B681)+1)))</f>
        <v/>
      </c>
      <c r="F681" s="19" t="str">
        <f aca="false">IF($A681="","",IF(ISNA(MATCH($H681,Buffers!$AE:$AE,0)),"Not on Buffers",IF(NOT(ISNUMBER($B681)),"Needs a date",IF(INT($B681)&lt;PlanDate,"Past due",IF(INT($B681)=PlanDate,"Due today",IF(AND(INDEX(Buffers!$L:$L,MATCH($H681,Buffers!$AE:$AE,0))="Planned",$E681&gt;0,INT($B681)&lt;=PlanDate+ROUNDUP(IF(ISNUMBER(SpikeHorizon),SpikeHorizon,INDEX(Buffers!$D:$D,MATCH($H681,Buffers!$AE:$AE,0))),0),$E681&gt;=SpikePct*INDEX(Buffers!$P:$P,MATCH($H681,Buffers!$AE:$AE,0))),"Spike","Not qualified"))))))</f>
        <v/>
      </c>
      <c r="G681" s="8" t="str">
        <f aca="false">IF($A681="","",IF(OR($F681="Past due",$F681="Due today",$F681="Spike"),$C681,0))</f>
        <v/>
      </c>
      <c r="H681" s="8" t="str">
        <f aca="false">IF($A681="","",SUBSTITUTE(SUBSTITUTE(SUBSTITUTE($A681&amp;"","~","~~"),"*","~*"),"?","~?"))</f>
        <v/>
      </c>
    </row>
    <row r="682" customFormat="false" ht="15" hidden="false" customHeight="false" outlineLevel="0" collapsed="false">
      <c r="A682" s="11"/>
      <c r="B682" s="6"/>
      <c r="C682" s="11"/>
      <c r="D682" s="11"/>
      <c r="E682" s="8" t="str">
        <f aca="false">IF($A682="","",SUMIFS($C:$C,$A:$A,$H682,$B:$B,"&gt;="&amp;INT($B682),$B:$B,"&lt;"&amp;(INT($B682)+1)))</f>
        <v/>
      </c>
      <c r="F682" s="19" t="str">
        <f aca="false">IF($A682="","",IF(ISNA(MATCH($H682,Buffers!$AE:$AE,0)),"Not on Buffers",IF(NOT(ISNUMBER($B682)),"Needs a date",IF(INT($B682)&lt;PlanDate,"Past due",IF(INT($B682)=PlanDate,"Due today",IF(AND(INDEX(Buffers!$L:$L,MATCH($H682,Buffers!$AE:$AE,0))="Planned",$E682&gt;0,INT($B682)&lt;=PlanDate+ROUNDUP(IF(ISNUMBER(SpikeHorizon),SpikeHorizon,INDEX(Buffers!$D:$D,MATCH($H682,Buffers!$AE:$AE,0))),0),$E682&gt;=SpikePct*INDEX(Buffers!$P:$P,MATCH($H682,Buffers!$AE:$AE,0))),"Spike","Not qualified"))))))</f>
        <v/>
      </c>
      <c r="G682" s="8" t="str">
        <f aca="false">IF($A682="","",IF(OR($F682="Past due",$F682="Due today",$F682="Spike"),$C682,0))</f>
        <v/>
      </c>
      <c r="H682" s="8" t="str">
        <f aca="false">IF($A682="","",SUBSTITUTE(SUBSTITUTE(SUBSTITUTE($A682&amp;"","~","~~"),"*","~*"),"?","~?"))</f>
        <v/>
      </c>
    </row>
    <row r="683" customFormat="false" ht="15" hidden="false" customHeight="false" outlineLevel="0" collapsed="false">
      <c r="A683" s="11"/>
      <c r="B683" s="6"/>
      <c r="C683" s="11"/>
      <c r="D683" s="11"/>
      <c r="E683" s="8" t="str">
        <f aca="false">IF($A683="","",SUMIFS($C:$C,$A:$A,$H683,$B:$B,"&gt;="&amp;INT($B683),$B:$B,"&lt;"&amp;(INT($B683)+1)))</f>
        <v/>
      </c>
      <c r="F683" s="19" t="str">
        <f aca="false">IF($A683="","",IF(ISNA(MATCH($H683,Buffers!$AE:$AE,0)),"Not on Buffers",IF(NOT(ISNUMBER($B683)),"Needs a date",IF(INT($B683)&lt;PlanDate,"Past due",IF(INT($B683)=PlanDate,"Due today",IF(AND(INDEX(Buffers!$L:$L,MATCH($H683,Buffers!$AE:$AE,0))="Planned",$E683&gt;0,INT($B683)&lt;=PlanDate+ROUNDUP(IF(ISNUMBER(SpikeHorizon),SpikeHorizon,INDEX(Buffers!$D:$D,MATCH($H683,Buffers!$AE:$AE,0))),0),$E683&gt;=SpikePct*INDEX(Buffers!$P:$P,MATCH($H683,Buffers!$AE:$AE,0))),"Spike","Not qualified"))))))</f>
        <v/>
      </c>
      <c r="G683" s="8" t="str">
        <f aca="false">IF($A683="","",IF(OR($F683="Past due",$F683="Due today",$F683="Spike"),$C683,0))</f>
        <v/>
      </c>
      <c r="H683" s="8" t="str">
        <f aca="false">IF($A683="","",SUBSTITUTE(SUBSTITUTE(SUBSTITUTE($A683&amp;"","~","~~"),"*","~*"),"?","~?"))</f>
        <v/>
      </c>
    </row>
    <row r="684" customFormat="false" ht="15" hidden="false" customHeight="false" outlineLevel="0" collapsed="false">
      <c r="A684" s="11"/>
      <c r="B684" s="6"/>
      <c r="C684" s="11"/>
      <c r="D684" s="11"/>
      <c r="E684" s="8" t="str">
        <f aca="false">IF($A684="","",SUMIFS($C:$C,$A:$A,$H684,$B:$B,"&gt;="&amp;INT($B684),$B:$B,"&lt;"&amp;(INT($B684)+1)))</f>
        <v/>
      </c>
      <c r="F684" s="19" t="str">
        <f aca="false">IF($A684="","",IF(ISNA(MATCH($H684,Buffers!$AE:$AE,0)),"Not on Buffers",IF(NOT(ISNUMBER($B684)),"Needs a date",IF(INT($B684)&lt;PlanDate,"Past due",IF(INT($B684)=PlanDate,"Due today",IF(AND(INDEX(Buffers!$L:$L,MATCH($H684,Buffers!$AE:$AE,0))="Planned",$E684&gt;0,INT($B684)&lt;=PlanDate+ROUNDUP(IF(ISNUMBER(SpikeHorizon),SpikeHorizon,INDEX(Buffers!$D:$D,MATCH($H684,Buffers!$AE:$AE,0))),0),$E684&gt;=SpikePct*INDEX(Buffers!$P:$P,MATCH($H684,Buffers!$AE:$AE,0))),"Spike","Not qualified"))))))</f>
        <v/>
      </c>
      <c r="G684" s="8" t="str">
        <f aca="false">IF($A684="","",IF(OR($F684="Past due",$F684="Due today",$F684="Spike"),$C684,0))</f>
        <v/>
      </c>
      <c r="H684" s="8" t="str">
        <f aca="false">IF($A684="","",SUBSTITUTE(SUBSTITUTE(SUBSTITUTE($A684&amp;"","~","~~"),"*","~*"),"?","~?"))</f>
        <v/>
      </c>
    </row>
    <row r="685" customFormat="false" ht="15" hidden="false" customHeight="false" outlineLevel="0" collapsed="false">
      <c r="A685" s="11"/>
      <c r="B685" s="6"/>
      <c r="C685" s="11"/>
      <c r="D685" s="11"/>
      <c r="E685" s="8" t="str">
        <f aca="false">IF($A685="","",SUMIFS($C:$C,$A:$A,$H685,$B:$B,"&gt;="&amp;INT($B685),$B:$B,"&lt;"&amp;(INT($B685)+1)))</f>
        <v/>
      </c>
      <c r="F685" s="19" t="str">
        <f aca="false">IF($A685="","",IF(ISNA(MATCH($H685,Buffers!$AE:$AE,0)),"Not on Buffers",IF(NOT(ISNUMBER($B685)),"Needs a date",IF(INT($B685)&lt;PlanDate,"Past due",IF(INT($B685)=PlanDate,"Due today",IF(AND(INDEX(Buffers!$L:$L,MATCH($H685,Buffers!$AE:$AE,0))="Planned",$E685&gt;0,INT($B685)&lt;=PlanDate+ROUNDUP(IF(ISNUMBER(SpikeHorizon),SpikeHorizon,INDEX(Buffers!$D:$D,MATCH($H685,Buffers!$AE:$AE,0))),0),$E685&gt;=SpikePct*INDEX(Buffers!$P:$P,MATCH($H685,Buffers!$AE:$AE,0))),"Spike","Not qualified"))))))</f>
        <v/>
      </c>
      <c r="G685" s="8" t="str">
        <f aca="false">IF($A685="","",IF(OR($F685="Past due",$F685="Due today",$F685="Spike"),$C685,0))</f>
        <v/>
      </c>
      <c r="H685" s="8" t="str">
        <f aca="false">IF($A685="","",SUBSTITUTE(SUBSTITUTE(SUBSTITUTE($A685&amp;"","~","~~"),"*","~*"),"?","~?"))</f>
        <v/>
      </c>
    </row>
    <row r="686" customFormat="false" ht="15" hidden="false" customHeight="false" outlineLevel="0" collapsed="false">
      <c r="A686" s="11"/>
      <c r="B686" s="6"/>
      <c r="C686" s="11"/>
      <c r="D686" s="11"/>
      <c r="E686" s="8" t="str">
        <f aca="false">IF($A686="","",SUMIFS($C:$C,$A:$A,$H686,$B:$B,"&gt;="&amp;INT($B686),$B:$B,"&lt;"&amp;(INT($B686)+1)))</f>
        <v/>
      </c>
      <c r="F686" s="19" t="str">
        <f aca="false">IF($A686="","",IF(ISNA(MATCH($H686,Buffers!$AE:$AE,0)),"Not on Buffers",IF(NOT(ISNUMBER($B686)),"Needs a date",IF(INT($B686)&lt;PlanDate,"Past due",IF(INT($B686)=PlanDate,"Due today",IF(AND(INDEX(Buffers!$L:$L,MATCH($H686,Buffers!$AE:$AE,0))="Planned",$E686&gt;0,INT($B686)&lt;=PlanDate+ROUNDUP(IF(ISNUMBER(SpikeHorizon),SpikeHorizon,INDEX(Buffers!$D:$D,MATCH($H686,Buffers!$AE:$AE,0))),0),$E686&gt;=SpikePct*INDEX(Buffers!$P:$P,MATCH($H686,Buffers!$AE:$AE,0))),"Spike","Not qualified"))))))</f>
        <v/>
      </c>
      <c r="G686" s="8" t="str">
        <f aca="false">IF($A686="","",IF(OR($F686="Past due",$F686="Due today",$F686="Spike"),$C686,0))</f>
        <v/>
      </c>
      <c r="H686" s="8" t="str">
        <f aca="false">IF($A686="","",SUBSTITUTE(SUBSTITUTE(SUBSTITUTE($A686&amp;"","~","~~"),"*","~*"),"?","~?"))</f>
        <v/>
      </c>
    </row>
    <row r="687" customFormat="false" ht="15" hidden="false" customHeight="false" outlineLevel="0" collapsed="false">
      <c r="A687" s="11"/>
      <c r="B687" s="6"/>
      <c r="C687" s="11"/>
      <c r="D687" s="11"/>
      <c r="E687" s="8" t="str">
        <f aca="false">IF($A687="","",SUMIFS($C:$C,$A:$A,$H687,$B:$B,"&gt;="&amp;INT($B687),$B:$B,"&lt;"&amp;(INT($B687)+1)))</f>
        <v/>
      </c>
      <c r="F687" s="19" t="str">
        <f aca="false">IF($A687="","",IF(ISNA(MATCH($H687,Buffers!$AE:$AE,0)),"Not on Buffers",IF(NOT(ISNUMBER($B687)),"Needs a date",IF(INT($B687)&lt;PlanDate,"Past due",IF(INT($B687)=PlanDate,"Due today",IF(AND(INDEX(Buffers!$L:$L,MATCH($H687,Buffers!$AE:$AE,0))="Planned",$E687&gt;0,INT($B687)&lt;=PlanDate+ROUNDUP(IF(ISNUMBER(SpikeHorizon),SpikeHorizon,INDEX(Buffers!$D:$D,MATCH($H687,Buffers!$AE:$AE,0))),0),$E687&gt;=SpikePct*INDEX(Buffers!$P:$P,MATCH($H687,Buffers!$AE:$AE,0))),"Spike","Not qualified"))))))</f>
        <v/>
      </c>
      <c r="G687" s="8" t="str">
        <f aca="false">IF($A687="","",IF(OR($F687="Past due",$F687="Due today",$F687="Spike"),$C687,0))</f>
        <v/>
      </c>
      <c r="H687" s="8" t="str">
        <f aca="false">IF($A687="","",SUBSTITUTE(SUBSTITUTE(SUBSTITUTE($A687&amp;"","~","~~"),"*","~*"),"?","~?"))</f>
        <v/>
      </c>
    </row>
    <row r="688" customFormat="false" ht="15" hidden="false" customHeight="false" outlineLevel="0" collapsed="false">
      <c r="A688" s="11"/>
      <c r="B688" s="6"/>
      <c r="C688" s="11"/>
      <c r="D688" s="11"/>
      <c r="E688" s="8" t="str">
        <f aca="false">IF($A688="","",SUMIFS($C:$C,$A:$A,$H688,$B:$B,"&gt;="&amp;INT($B688),$B:$B,"&lt;"&amp;(INT($B688)+1)))</f>
        <v/>
      </c>
      <c r="F688" s="19" t="str">
        <f aca="false">IF($A688="","",IF(ISNA(MATCH($H688,Buffers!$AE:$AE,0)),"Not on Buffers",IF(NOT(ISNUMBER($B688)),"Needs a date",IF(INT($B688)&lt;PlanDate,"Past due",IF(INT($B688)=PlanDate,"Due today",IF(AND(INDEX(Buffers!$L:$L,MATCH($H688,Buffers!$AE:$AE,0))="Planned",$E688&gt;0,INT($B688)&lt;=PlanDate+ROUNDUP(IF(ISNUMBER(SpikeHorizon),SpikeHorizon,INDEX(Buffers!$D:$D,MATCH($H688,Buffers!$AE:$AE,0))),0),$E688&gt;=SpikePct*INDEX(Buffers!$P:$P,MATCH($H688,Buffers!$AE:$AE,0))),"Spike","Not qualified"))))))</f>
        <v/>
      </c>
      <c r="G688" s="8" t="str">
        <f aca="false">IF($A688="","",IF(OR($F688="Past due",$F688="Due today",$F688="Spike"),$C688,0))</f>
        <v/>
      </c>
      <c r="H688" s="8" t="str">
        <f aca="false">IF($A688="","",SUBSTITUTE(SUBSTITUTE(SUBSTITUTE($A688&amp;"","~","~~"),"*","~*"),"?","~?"))</f>
        <v/>
      </c>
    </row>
    <row r="689" customFormat="false" ht="15" hidden="false" customHeight="false" outlineLevel="0" collapsed="false">
      <c r="A689" s="11"/>
      <c r="B689" s="6"/>
      <c r="C689" s="11"/>
      <c r="D689" s="11"/>
      <c r="E689" s="8" t="str">
        <f aca="false">IF($A689="","",SUMIFS($C:$C,$A:$A,$H689,$B:$B,"&gt;="&amp;INT($B689),$B:$B,"&lt;"&amp;(INT($B689)+1)))</f>
        <v/>
      </c>
      <c r="F689" s="19" t="str">
        <f aca="false">IF($A689="","",IF(ISNA(MATCH($H689,Buffers!$AE:$AE,0)),"Not on Buffers",IF(NOT(ISNUMBER($B689)),"Needs a date",IF(INT($B689)&lt;PlanDate,"Past due",IF(INT($B689)=PlanDate,"Due today",IF(AND(INDEX(Buffers!$L:$L,MATCH($H689,Buffers!$AE:$AE,0))="Planned",$E689&gt;0,INT($B689)&lt;=PlanDate+ROUNDUP(IF(ISNUMBER(SpikeHorizon),SpikeHorizon,INDEX(Buffers!$D:$D,MATCH($H689,Buffers!$AE:$AE,0))),0),$E689&gt;=SpikePct*INDEX(Buffers!$P:$P,MATCH($H689,Buffers!$AE:$AE,0))),"Spike","Not qualified"))))))</f>
        <v/>
      </c>
      <c r="G689" s="8" t="str">
        <f aca="false">IF($A689="","",IF(OR($F689="Past due",$F689="Due today",$F689="Spike"),$C689,0))</f>
        <v/>
      </c>
      <c r="H689" s="8" t="str">
        <f aca="false">IF($A689="","",SUBSTITUTE(SUBSTITUTE(SUBSTITUTE($A689&amp;"","~","~~"),"*","~*"),"?","~?"))</f>
        <v/>
      </c>
    </row>
    <row r="690" customFormat="false" ht="15" hidden="false" customHeight="false" outlineLevel="0" collapsed="false">
      <c r="A690" s="11"/>
      <c r="B690" s="6"/>
      <c r="C690" s="11"/>
      <c r="D690" s="11"/>
      <c r="E690" s="8" t="str">
        <f aca="false">IF($A690="","",SUMIFS($C:$C,$A:$A,$H690,$B:$B,"&gt;="&amp;INT($B690),$B:$B,"&lt;"&amp;(INT($B690)+1)))</f>
        <v/>
      </c>
      <c r="F690" s="19" t="str">
        <f aca="false">IF($A690="","",IF(ISNA(MATCH($H690,Buffers!$AE:$AE,0)),"Not on Buffers",IF(NOT(ISNUMBER($B690)),"Needs a date",IF(INT($B690)&lt;PlanDate,"Past due",IF(INT($B690)=PlanDate,"Due today",IF(AND(INDEX(Buffers!$L:$L,MATCH($H690,Buffers!$AE:$AE,0))="Planned",$E690&gt;0,INT($B690)&lt;=PlanDate+ROUNDUP(IF(ISNUMBER(SpikeHorizon),SpikeHorizon,INDEX(Buffers!$D:$D,MATCH($H690,Buffers!$AE:$AE,0))),0),$E690&gt;=SpikePct*INDEX(Buffers!$P:$P,MATCH($H690,Buffers!$AE:$AE,0))),"Spike","Not qualified"))))))</f>
        <v/>
      </c>
      <c r="G690" s="8" t="str">
        <f aca="false">IF($A690="","",IF(OR($F690="Past due",$F690="Due today",$F690="Spike"),$C690,0))</f>
        <v/>
      </c>
      <c r="H690" s="8" t="str">
        <f aca="false">IF($A690="","",SUBSTITUTE(SUBSTITUTE(SUBSTITUTE($A690&amp;"","~","~~"),"*","~*"),"?","~?"))</f>
        <v/>
      </c>
    </row>
    <row r="691" customFormat="false" ht="15" hidden="false" customHeight="false" outlineLevel="0" collapsed="false">
      <c r="A691" s="11"/>
      <c r="B691" s="6"/>
      <c r="C691" s="11"/>
      <c r="D691" s="11"/>
      <c r="E691" s="8" t="str">
        <f aca="false">IF($A691="","",SUMIFS($C:$C,$A:$A,$H691,$B:$B,"&gt;="&amp;INT($B691),$B:$B,"&lt;"&amp;(INT($B691)+1)))</f>
        <v/>
      </c>
      <c r="F691" s="19" t="str">
        <f aca="false">IF($A691="","",IF(ISNA(MATCH($H691,Buffers!$AE:$AE,0)),"Not on Buffers",IF(NOT(ISNUMBER($B691)),"Needs a date",IF(INT($B691)&lt;PlanDate,"Past due",IF(INT($B691)=PlanDate,"Due today",IF(AND(INDEX(Buffers!$L:$L,MATCH($H691,Buffers!$AE:$AE,0))="Planned",$E691&gt;0,INT($B691)&lt;=PlanDate+ROUNDUP(IF(ISNUMBER(SpikeHorizon),SpikeHorizon,INDEX(Buffers!$D:$D,MATCH($H691,Buffers!$AE:$AE,0))),0),$E691&gt;=SpikePct*INDEX(Buffers!$P:$P,MATCH($H691,Buffers!$AE:$AE,0))),"Spike","Not qualified"))))))</f>
        <v/>
      </c>
      <c r="G691" s="8" t="str">
        <f aca="false">IF($A691="","",IF(OR($F691="Past due",$F691="Due today",$F691="Spike"),$C691,0))</f>
        <v/>
      </c>
      <c r="H691" s="8" t="str">
        <f aca="false">IF($A691="","",SUBSTITUTE(SUBSTITUTE(SUBSTITUTE($A691&amp;"","~","~~"),"*","~*"),"?","~?"))</f>
        <v/>
      </c>
    </row>
    <row r="692" customFormat="false" ht="15" hidden="false" customHeight="false" outlineLevel="0" collapsed="false">
      <c r="A692" s="11"/>
      <c r="B692" s="6"/>
      <c r="C692" s="11"/>
      <c r="D692" s="11"/>
      <c r="E692" s="8" t="str">
        <f aca="false">IF($A692="","",SUMIFS($C:$C,$A:$A,$H692,$B:$B,"&gt;="&amp;INT($B692),$B:$B,"&lt;"&amp;(INT($B692)+1)))</f>
        <v/>
      </c>
      <c r="F692" s="19" t="str">
        <f aca="false">IF($A692="","",IF(ISNA(MATCH($H692,Buffers!$AE:$AE,0)),"Not on Buffers",IF(NOT(ISNUMBER($B692)),"Needs a date",IF(INT($B692)&lt;PlanDate,"Past due",IF(INT($B692)=PlanDate,"Due today",IF(AND(INDEX(Buffers!$L:$L,MATCH($H692,Buffers!$AE:$AE,0))="Planned",$E692&gt;0,INT($B692)&lt;=PlanDate+ROUNDUP(IF(ISNUMBER(SpikeHorizon),SpikeHorizon,INDEX(Buffers!$D:$D,MATCH($H692,Buffers!$AE:$AE,0))),0),$E692&gt;=SpikePct*INDEX(Buffers!$P:$P,MATCH($H692,Buffers!$AE:$AE,0))),"Spike","Not qualified"))))))</f>
        <v/>
      </c>
      <c r="G692" s="8" t="str">
        <f aca="false">IF($A692="","",IF(OR($F692="Past due",$F692="Due today",$F692="Spike"),$C692,0))</f>
        <v/>
      </c>
      <c r="H692" s="8" t="str">
        <f aca="false">IF($A692="","",SUBSTITUTE(SUBSTITUTE(SUBSTITUTE($A692&amp;"","~","~~"),"*","~*"),"?","~?"))</f>
        <v/>
      </c>
    </row>
    <row r="693" customFormat="false" ht="15" hidden="false" customHeight="false" outlineLevel="0" collapsed="false">
      <c r="A693" s="11"/>
      <c r="B693" s="6"/>
      <c r="C693" s="11"/>
      <c r="D693" s="11"/>
      <c r="E693" s="8" t="str">
        <f aca="false">IF($A693="","",SUMIFS($C:$C,$A:$A,$H693,$B:$B,"&gt;="&amp;INT($B693),$B:$B,"&lt;"&amp;(INT($B693)+1)))</f>
        <v/>
      </c>
      <c r="F693" s="19" t="str">
        <f aca="false">IF($A693="","",IF(ISNA(MATCH($H693,Buffers!$AE:$AE,0)),"Not on Buffers",IF(NOT(ISNUMBER($B693)),"Needs a date",IF(INT($B693)&lt;PlanDate,"Past due",IF(INT($B693)=PlanDate,"Due today",IF(AND(INDEX(Buffers!$L:$L,MATCH($H693,Buffers!$AE:$AE,0))="Planned",$E693&gt;0,INT($B693)&lt;=PlanDate+ROUNDUP(IF(ISNUMBER(SpikeHorizon),SpikeHorizon,INDEX(Buffers!$D:$D,MATCH($H693,Buffers!$AE:$AE,0))),0),$E693&gt;=SpikePct*INDEX(Buffers!$P:$P,MATCH($H693,Buffers!$AE:$AE,0))),"Spike","Not qualified"))))))</f>
        <v/>
      </c>
      <c r="G693" s="8" t="str">
        <f aca="false">IF($A693="","",IF(OR($F693="Past due",$F693="Due today",$F693="Spike"),$C693,0))</f>
        <v/>
      </c>
      <c r="H693" s="8" t="str">
        <f aca="false">IF($A693="","",SUBSTITUTE(SUBSTITUTE(SUBSTITUTE($A693&amp;"","~","~~"),"*","~*"),"?","~?"))</f>
        <v/>
      </c>
    </row>
    <row r="694" customFormat="false" ht="15" hidden="false" customHeight="false" outlineLevel="0" collapsed="false">
      <c r="A694" s="11"/>
      <c r="B694" s="6"/>
      <c r="C694" s="11"/>
      <c r="D694" s="11"/>
      <c r="E694" s="8" t="str">
        <f aca="false">IF($A694="","",SUMIFS($C:$C,$A:$A,$H694,$B:$B,"&gt;="&amp;INT($B694),$B:$B,"&lt;"&amp;(INT($B694)+1)))</f>
        <v/>
      </c>
      <c r="F694" s="19" t="str">
        <f aca="false">IF($A694="","",IF(ISNA(MATCH($H694,Buffers!$AE:$AE,0)),"Not on Buffers",IF(NOT(ISNUMBER($B694)),"Needs a date",IF(INT($B694)&lt;PlanDate,"Past due",IF(INT($B694)=PlanDate,"Due today",IF(AND(INDEX(Buffers!$L:$L,MATCH($H694,Buffers!$AE:$AE,0))="Planned",$E694&gt;0,INT($B694)&lt;=PlanDate+ROUNDUP(IF(ISNUMBER(SpikeHorizon),SpikeHorizon,INDEX(Buffers!$D:$D,MATCH($H694,Buffers!$AE:$AE,0))),0),$E694&gt;=SpikePct*INDEX(Buffers!$P:$P,MATCH($H694,Buffers!$AE:$AE,0))),"Spike","Not qualified"))))))</f>
        <v/>
      </c>
      <c r="G694" s="8" t="str">
        <f aca="false">IF($A694="","",IF(OR($F694="Past due",$F694="Due today",$F694="Spike"),$C694,0))</f>
        <v/>
      </c>
      <c r="H694" s="8" t="str">
        <f aca="false">IF($A694="","",SUBSTITUTE(SUBSTITUTE(SUBSTITUTE($A694&amp;"","~","~~"),"*","~*"),"?","~?"))</f>
        <v/>
      </c>
    </row>
    <row r="695" customFormat="false" ht="15" hidden="false" customHeight="false" outlineLevel="0" collapsed="false">
      <c r="A695" s="11"/>
      <c r="B695" s="6"/>
      <c r="C695" s="11"/>
      <c r="D695" s="11"/>
      <c r="E695" s="8" t="str">
        <f aca="false">IF($A695="","",SUMIFS($C:$C,$A:$A,$H695,$B:$B,"&gt;="&amp;INT($B695),$B:$B,"&lt;"&amp;(INT($B695)+1)))</f>
        <v/>
      </c>
      <c r="F695" s="19" t="str">
        <f aca="false">IF($A695="","",IF(ISNA(MATCH($H695,Buffers!$AE:$AE,0)),"Not on Buffers",IF(NOT(ISNUMBER($B695)),"Needs a date",IF(INT($B695)&lt;PlanDate,"Past due",IF(INT($B695)=PlanDate,"Due today",IF(AND(INDEX(Buffers!$L:$L,MATCH($H695,Buffers!$AE:$AE,0))="Planned",$E695&gt;0,INT($B695)&lt;=PlanDate+ROUNDUP(IF(ISNUMBER(SpikeHorizon),SpikeHorizon,INDEX(Buffers!$D:$D,MATCH($H695,Buffers!$AE:$AE,0))),0),$E695&gt;=SpikePct*INDEX(Buffers!$P:$P,MATCH($H695,Buffers!$AE:$AE,0))),"Spike","Not qualified"))))))</f>
        <v/>
      </c>
      <c r="G695" s="8" t="str">
        <f aca="false">IF($A695="","",IF(OR($F695="Past due",$F695="Due today",$F695="Spike"),$C695,0))</f>
        <v/>
      </c>
      <c r="H695" s="8" t="str">
        <f aca="false">IF($A695="","",SUBSTITUTE(SUBSTITUTE(SUBSTITUTE($A695&amp;"","~","~~"),"*","~*"),"?","~?"))</f>
        <v/>
      </c>
    </row>
    <row r="696" customFormat="false" ht="15" hidden="false" customHeight="false" outlineLevel="0" collapsed="false">
      <c r="A696" s="11"/>
      <c r="B696" s="6"/>
      <c r="C696" s="11"/>
      <c r="D696" s="11"/>
      <c r="E696" s="8" t="str">
        <f aca="false">IF($A696="","",SUMIFS($C:$C,$A:$A,$H696,$B:$B,"&gt;="&amp;INT($B696),$B:$B,"&lt;"&amp;(INT($B696)+1)))</f>
        <v/>
      </c>
      <c r="F696" s="19" t="str">
        <f aca="false">IF($A696="","",IF(ISNA(MATCH($H696,Buffers!$AE:$AE,0)),"Not on Buffers",IF(NOT(ISNUMBER($B696)),"Needs a date",IF(INT($B696)&lt;PlanDate,"Past due",IF(INT($B696)=PlanDate,"Due today",IF(AND(INDEX(Buffers!$L:$L,MATCH($H696,Buffers!$AE:$AE,0))="Planned",$E696&gt;0,INT($B696)&lt;=PlanDate+ROUNDUP(IF(ISNUMBER(SpikeHorizon),SpikeHorizon,INDEX(Buffers!$D:$D,MATCH($H696,Buffers!$AE:$AE,0))),0),$E696&gt;=SpikePct*INDEX(Buffers!$P:$P,MATCH($H696,Buffers!$AE:$AE,0))),"Spike","Not qualified"))))))</f>
        <v/>
      </c>
      <c r="G696" s="8" t="str">
        <f aca="false">IF($A696="","",IF(OR($F696="Past due",$F696="Due today",$F696="Spike"),$C696,0))</f>
        <v/>
      </c>
      <c r="H696" s="8" t="str">
        <f aca="false">IF($A696="","",SUBSTITUTE(SUBSTITUTE(SUBSTITUTE($A696&amp;"","~","~~"),"*","~*"),"?","~?"))</f>
        <v/>
      </c>
    </row>
    <row r="697" customFormat="false" ht="15" hidden="false" customHeight="false" outlineLevel="0" collapsed="false">
      <c r="A697" s="11"/>
      <c r="B697" s="6"/>
      <c r="C697" s="11"/>
      <c r="D697" s="11"/>
      <c r="E697" s="8" t="str">
        <f aca="false">IF($A697="","",SUMIFS($C:$C,$A:$A,$H697,$B:$B,"&gt;="&amp;INT($B697),$B:$B,"&lt;"&amp;(INT($B697)+1)))</f>
        <v/>
      </c>
      <c r="F697" s="19" t="str">
        <f aca="false">IF($A697="","",IF(ISNA(MATCH($H697,Buffers!$AE:$AE,0)),"Not on Buffers",IF(NOT(ISNUMBER($B697)),"Needs a date",IF(INT($B697)&lt;PlanDate,"Past due",IF(INT($B697)=PlanDate,"Due today",IF(AND(INDEX(Buffers!$L:$L,MATCH($H697,Buffers!$AE:$AE,0))="Planned",$E697&gt;0,INT($B697)&lt;=PlanDate+ROUNDUP(IF(ISNUMBER(SpikeHorizon),SpikeHorizon,INDEX(Buffers!$D:$D,MATCH($H697,Buffers!$AE:$AE,0))),0),$E697&gt;=SpikePct*INDEX(Buffers!$P:$P,MATCH($H697,Buffers!$AE:$AE,0))),"Spike","Not qualified"))))))</f>
        <v/>
      </c>
      <c r="G697" s="8" t="str">
        <f aca="false">IF($A697="","",IF(OR($F697="Past due",$F697="Due today",$F697="Spike"),$C697,0))</f>
        <v/>
      </c>
      <c r="H697" s="8" t="str">
        <f aca="false">IF($A697="","",SUBSTITUTE(SUBSTITUTE(SUBSTITUTE($A697&amp;"","~","~~"),"*","~*"),"?","~?"))</f>
        <v/>
      </c>
    </row>
    <row r="698" customFormat="false" ht="15" hidden="false" customHeight="false" outlineLevel="0" collapsed="false">
      <c r="A698" s="11"/>
      <c r="B698" s="6"/>
      <c r="C698" s="11"/>
      <c r="D698" s="11"/>
      <c r="E698" s="8" t="str">
        <f aca="false">IF($A698="","",SUMIFS($C:$C,$A:$A,$H698,$B:$B,"&gt;="&amp;INT($B698),$B:$B,"&lt;"&amp;(INT($B698)+1)))</f>
        <v/>
      </c>
      <c r="F698" s="19" t="str">
        <f aca="false">IF($A698="","",IF(ISNA(MATCH($H698,Buffers!$AE:$AE,0)),"Not on Buffers",IF(NOT(ISNUMBER($B698)),"Needs a date",IF(INT($B698)&lt;PlanDate,"Past due",IF(INT($B698)=PlanDate,"Due today",IF(AND(INDEX(Buffers!$L:$L,MATCH($H698,Buffers!$AE:$AE,0))="Planned",$E698&gt;0,INT($B698)&lt;=PlanDate+ROUNDUP(IF(ISNUMBER(SpikeHorizon),SpikeHorizon,INDEX(Buffers!$D:$D,MATCH($H698,Buffers!$AE:$AE,0))),0),$E698&gt;=SpikePct*INDEX(Buffers!$P:$P,MATCH($H698,Buffers!$AE:$AE,0))),"Spike","Not qualified"))))))</f>
        <v/>
      </c>
      <c r="G698" s="8" t="str">
        <f aca="false">IF($A698="","",IF(OR($F698="Past due",$F698="Due today",$F698="Spike"),$C698,0))</f>
        <v/>
      </c>
      <c r="H698" s="8" t="str">
        <f aca="false">IF($A698="","",SUBSTITUTE(SUBSTITUTE(SUBSTITUTE($A698&amp;"","~","~~"),"*","~*"),"?","~?"))</f>
        <v/>
      </c>
    </row>
    <row r="699" customFormat="false" ht="15" hidden="false" customHeight="false" outlineLevel="0" collapsed="false">
      <c r="A699" s="11"/>
      <c r="B699" s="6"/>
      <c r="C699" s="11"/>
      <c r="D699" s="11"/>
      <c r="E699" s="8" t="str">
        <f aca="false">IF($A699="","",SUMIFS($C:$C,$A:$A,$H699,$B:$B,"&gt;="&amp;INT($B699),$B:$B,"&lt;"&amp;(INT($B699)+1)))</f>
        <v/>
      </c>
      <c r="F699" s="19" t="str">
        <f aca="false">IF($A699="","",IF(ISNA(MATCH($H699,Buffers!$AE:$AE,0)),"Not on Buffers",IF(NOT(ISNUMBER($B699)),"Needs a date",IF(INT($B699)&lt;PlanDate,"Past due",IF(INT($B699)=PlanDate,"Due today",IF(AND(INDEX(Buffers!$L:$L,MATCH($H699,Buffers!$AE:$AE,0))="Planned",$E699&gt;0,INT($B699)&lt;=PlanDate+ROUNDUP(IF(ISNUMBER(SpikeHorizon),SpikeHorizon,INDEX(Buffers!$D:$D,MATCH($H699,Buffers!$AE:$AE,0))),0),$E699&gt;=SpikePct*INDEX(Buffers!$P:$P,MATCH($H699,Buffers!$AE:$AE,0))),"Spike","Not qualified"))))))</f>
        <v/>
      </c>
      <c r="G699" s="8" t="str">
        <f aca="false">IF($A699="","",IF(OR($F699="Past due",$F699="Due today",$F699="Spike"),$C699,0))</f>
        <v/>
      </c>
      <c r="H699" s="8" t="str">
        <f aca="false">IF($A699="","",SUBSTITUTE(SUBSTITUTE(SUBSTITUTE($A699&amp;"","~","~~"),"*","~*"),"?","~?"))</f>
        <v/>
      </c>
    </row>
    <row r="700" customFormat="false" ht="15" hidden="false" customHeight="false" outlineLevel="0" collapsed="false">
      <c r="A700" s="11"/>
      <c r="B700" s="6"/>
      <c r="C700" s="11"/>
      <c r="D700" s="11"/>
      <c r="E700" s="8" t="str">
        <f aca="false">IF($A700="","",SUMIFS($C:$C,$A:$A,$H700,$B:$B,"&gt;="&amp;INT($B700),$B:$B,"&lt;"&amp;(INT($B700)+1)))</f>
        <v/>
      </c>
      <c r="F700" s="19" t="str">
        <f aca="false">IF($A700="","",IF(ISNA(MATCH($H700,Buffers!$AE:$AE,0)),"Not on Buffers",IF(NOT(ISNUMBER($B700)),"Needs a date",IF(INT($B700)&lt;PlanDate,"Past due",IF(INT($B700)=PlanDate,"Due today",IF(AND(INDEX(Buffers!$L:$L,MATCH($H700,Buffers!$AE:$AE,0))="Planned",$E700&gt;0,INT($B700)&lt;=PlanDate+ROUNDUP(IF(ISNUMBER(SpikeHorizon),SpikeHorizon,INDEX(Buffers!$D:$D,MATCH($H700,Buffers!$AE:$AE,0))),0),$E700&gt;=SpikePct*INDEX(Buffers!$P:$P,MATCH($H700,Buffers!$AE:$AE,0))),"Spike","Not qualified"))))))</f>
        <v/>
      </c>
      <c r="G700" s="8" t="str">
        <f aca="false">IF($A700="","",IF(OR($F700="Past due",$F700="Due today",$F700="Spike"),$C700,0))</f>
        <v/>
      </c>
      <c r="H700" s="8" t="str">
        <f aca="false">IF($A700="","",SUBSTITUTE(SUBSTITUTE(SUBSTITUTE($A700&amp;"","~","~~"),"*","~*"),"?","~?"))</f>
        <v/>
      </c>
    </row>
    <row r="701" customFormat="false" ht="15" hidden="false" customHeight="false" outlineLevel="0" collapsed="false">
      <c r="A701" s="11"/>
      <c r="B701" s="6"/>
      <c r="C701" s="11"/>
      <c r="D701" s="11"/>
      <c r="E701" s="8" t="str">
        <f aca="false">IF($A701="","",SUMIFS($C:$C,$A:$A,$H701,$B:$B,"&gt;="&amp;INT($B701),$B:$B,"&lt;"&amp;(INT($B701)+1)))</f>
        <v/>
      </c>
      <c r="F701" s="19" t="str">
        <f aca="false">IF($A701="","",IF(ISNA(MATCH($H701,Buffers!$AE:$AE,0)),"Not on Buffers",IF(NOT(ISNUMBER($B701)),"Needs a date",IF(INT($B701)&lt;PlanDate,"Past due",IF(INT($B701)=PlanDate,"Due today",IF(AND(INDEX(Buffers!$L:$L,MATCH($H701,Buffers!$AE:$AE,0))="Planned",$E701&gt;0,INT($B701)&lt;=PlanDate+ROUNDUP(IF(ISNUMBER(SpikeHorizon),SpikeHorizon,INDEX(Buffers!$D:$D,MATCH($H701,Buffers!$AE:$AE,0))),0),$E701&gt;=SpikePct*INDEX(Buffers!$P:$P,MATCH($H701,Buffers!$AE:$AE,0))),"Spike","Not qualified"))))))</f>
        <v/>
      </c>
      <c r="G701" s="8" t="str">
        <f aca="false">IF($A701="","",IF(OR($F701="Past due",$F701="Due today",$F701="Spike"),$C701,0))</f>
        <v/>
      </c>
      <c r="H701" s="8" t="str">
        <f aca="false">IF($A701="","",SUBSTITUTE(SUBSTITUTE(SUBSTITUTE($A701&amp;"","~","~~"),"*","~*"),"?","~?"))</f>
        <v/>
      </c>
    </row>
    <row r="702" customFormat="false" ht="15" hidden="false" customHeight="false" outlineLevel="0" collapsed="false">
      <c r="A702" s="11"/>
      <c r="B702" s="6"/>
      <c r="C702" s="11"/>
      <c r="D702" s="11"/>
      <c r="E702" s="8" t="str">
        <f aca="false">IF($A702="","",SUMIFS($C:$C,$A:$A,$H702,$B:$B,"&gt;="&amp;INT($B702),$B:$B,"&lt;"&amp;(INT($B702)+1)))</f>
        <v/>
      </c>
      <c r="F702" s="19" t="str">
        <f aca="false">IF($A702="","",IF(ISNA(MATCH($H702,Buffers!$AE:$AE,0)),"Not on Buffers",IF(NOT(ISNUMBER($B702)),"Needs a date",IF(INT($B702)&lt;PlanDate,"Past due",IF(INT($B702)=PlanDate,"Due today",IF(AND(INDEX(Buffers!$L:$L,MATCH($H702,Buffers!$AE:$AE,0))="Planned",$E702&gt;0,INT($B702)&lt;=PlanDate+ROUNDUP(IF(ISNUMBER(SpikeHorizon),SpikeHorizon,INDEX(Buffers!$D:$D,MATCH($H702,Buffers!$AE:$AE,0))),0),$E702&gt;=SpikePct*INDEX(Buffers!$P:$P,MATCH($H702,Buffers!$AE:$AE,0))),"Spike","Not qualified"))))))</f>
        <v/>
      </c>
      <c r="G702" s="8" t="str">
        <f aca="false">IF($A702="","",IF(OR($F702="Past due",$F702="Due today",$F702="Spike"),$C702,0))</f>
        <v/>
      </c>
      <c r="H702" s="8" t="str">
        <f aca="false">IF($A702="","",SUBSTITUTE(SUBSTITUTE(SUBSTITUTE($A702&amp;"","~","~~"),"*","~*"),"?","~?"))</f>
        <v/>
      </c>
    </row>
    <row r="703" customFormat="false" ht="15" hidden="false" customHeight="false" outlineLevel="0" collapsed="false">
      <c r="A703" s="11"/>
      <c r="B703" s="6"/>
      <c r="C703" s="11"/>
      <c r="D703" s="11"/>
      <c r="E703" s="8" t="str">
        <f aca="false">IF($A703="","",SUMIFS($C:$C,$A:$A,$H703,$B:$B,"&gt;="&amp;INT($B703),$B:$B,"&lt;"&amp;(INT($B703)+1)))</f>
        <v/>
      </c>
      <c r="F703" s="19" t="str">
        <f aca="false">IF($A703="","",IF(ISNA(MATCH($H703,Buffers!$AE:$AE,0)),"Not on Buffers",IF(NOT(ISNUMBER($B703)),"Needs a date",IF(INT($B703)&lt;PlanDate,"Past due",IF(INT($B703)=PlanDate,"Due today",IF(AND(INDEX(Buffers!$L:$L,MATCH($H703,Buffers!$AE:$AE,0))="Planned",$E703&gt;0,INT($B703)&lt;=PlanDate+ROUNDUP(IF(ISNUMBER(SpikeHorizon),SpikeHorizon,INDEX(Buffers!$D:$D,MATCH($H703,Buffers!$AE:$AE,0))),0),$E703&gt;=SpikePct*INDEX(Buffers!$P:$P,MATCH($H703,Buffers!$AE:$AE,0))),"Spike","Not qualified"))))))</f>
        <v/>
      </c>
      <c r="G703" s="8" t="str">
        <f aca="false">IF($A703="","",IF(OR($F703="Past due",$F703="Due today",$F703="Spike"),$C703,0))</f>
        <v/>
      </c>
      <c r="H703" s="8" t="str">
        <f aca="false">IF($A703="","",SUBSTITUTE(SUBSTITUTE(SUBSTITUTE($A703&amp;"","~","~~"),"*","~*"),"?","~?"))</f>
        <v/>
      </c>
    </row>
    <row r="704" customFormat="false" ht="15" hidden="false" customHeight="false" outlineLevel="0" collapsed="false">
      <c r="A704" s="11"/>
      <c r="B704" s="6"/>
      <c r="C704" s="11"/>
      <c r="D704" s="11"/>
      <c r="E704" s="8" t="str">
        <f aca="false">IF($A704="","",SUMIFS($C:$C,$A:$A,$H704,$B:$B,"&gt;="&amp;INT($B704),$B:$B,"&lt;"&amp;(INT($B704)+1)))</f>
        <v/>
      </c>
      <c r="F704" s="19" t="str">
        <f aca="false">IF($A704="","",IF(ISNA(MATCH($H704,Buffers!$AE:$AE,0)),"Not on Buffers",IF(NOT(ISNUMBER($B704)),"Needs a date",IF(INT($B704)&lt;PlanDate,"Past due",IF(INT($B704)=PlanDate,"Due today",IF(AND(INDEX(Buffers!$L:$L,MATCH($H704,Buffers!$AE:$AE,0))="Planned",$E704&gt;0,INT($B704)&lt;=PlanDate+ROUNDUP(IF(ISNUMBER(SpikeHorizon),SpikeHorizon,INDEX(Buffers!$D:$D,MATCH($H704,Buffers!$AE:$AE,0))),0),$E704&gt;=SpikePct*INDEX(Buffers!$P:$P,MATCH($H704,Buffers!$AE:$AE,0))),"Spike","Not qualified"))))))</f>
        <v/>
      </c>
      <c r="G704" s="8" t="str">
        <f aca="false">IF($A704="","",IF(OR($F704="Past due",$F704="Due today",$F704="Spike"),$C704,0))</f>
        <v/>
      </c>
      <c r="H704" s="8" t="str">
        <f aca="false">IF($A704="","",SUBSTITUTE(SUBSTITUTE(SUBSTITUTE($A704&amp;"","~","~~"),"*","~*"),"?","~?"))</f>
        <v/>
      </c>
    </row>
    <row r="705" customFormat="false" ht="15" hidden="false" customHeight="false" outlineLevel="0" collapsed="false">
      <c r="A705" s="11"/>
      <c r="B705" s="6"/>
      <c r="C705" s="11"/>
      <c r="D705" s="11"/>
      <c r="E705" s="8" t="str">
        <f aca="false">IF($A705="","",SUMIFS($C:$C,$A:$A,$H705,$B:$B,"&gt;="&amp;INT($B705),$B:$B,"&lt;"&amp;(INT($B705)+1)))</f>
        <v/>
      </c>
      <c r="F705" s="19" t="str">
        <f aca="false">IF($A705="","",IF(ISNA(MATCH($H705,Buffers!$AE:$AE,0)),"Not on Buffers",IF(NOT(ISNUMBER($B705)),"Needs a date",IF(INT($B705)&lt;PlanDate,"Past due",IF(INT($B705)=PlanDate,"Due today",IF(AND(INDEX(Buffers!$L:$L,MATCH($H705,Buffers!$AE:$AE,0))="Planned",$E705&gt;0,INT($B705)&lt;=PlanDate+ROUNDUP(IF(ISNUMBER(SpikeHorizon),SpikeHorizon,INDEX(Buffers!$D:$D,MATCH($H705,Buffers!$AE:$AE,0))),0),$E705&gt;=SpikePct*INDEX(Buffers!$P:$P,MATCH($H705,Buffers!$AE:$AE,0))),"Spike","Not qualified"))))))</f>
        <v/>
      </c>
      <c r="G705" s="8" t="str">
        <f aca="false">IF($A705="","",IF(OR($F705="Past due",$F705="Due today",$F705="Spike"),$C705,0))</f>
        <v/>
      </c>
      <c r="H705" s="8" t="str">
        <f aca="false">IF($A705="","",SUBSTITUTE(SUBSTITUTE(SUBSTITUTE($A705&amp;"","~","~~"),"*","~*"),"?","~?"))</f>
        <v/>
      </c>
    </row>
    <row r="706" customFormat="false" ht="15" hidden="false" customHeight="false" outlineLevel="0" collapsed="false">
      <c r="A706" s="11"/>
      <c r="B706" s="6"/>
      <c r="C706" s="11"/>
      <c r="D706" s="11"/>
      <c r="E706" s="8" t="str">
        <f aca="false">IF($A706="","",SUMIFS($C:$C,$A:$A,$H706,$B:$B,"&gt;="&amp;INT($B706),$B:$B,"&lt;"&amp;(INT($B706)+1)))</f>
        <v/>
      </c>
      <c r="F706" s="19" t="str">
        <f aca="false">IF($A706="","",IF(ISNA(MATCH($H706,Buffers!$AE:$AE,0)),"Not on Buffers",IF(NOT(ISNUMBER($B706)),"Needs a date",IF(INT($B706)&lt;PlanDate,"Past due",IF(INT($B706)=PlanDate,"Due today",IF(AND(INDEX(Buffers!$L:$L,MATCH($H706,Buffers!$AE:$AE,0))="Planned",$E706&gt;0,INT($B706)&lt;=PlanDate+ROUNDUP(IF(ISNUMBER(SpikeHorizon),SpikeHorizon,INDEX(Buffers!$D:$D,MATCH($H706,Buffers!$AE:$AE,0))),0),$E706&gt;=SpikePct*INDEX(Buffers!$P:$P,MATCH($H706,Buffers!$AE:$AE,0))),"Spike","Not qualified"))))))</f>
        <v/>
      </c>
      <c r="G706" s="8" t="str">
        <f aca="false">IF($A706="","",IF(OR($F706="Past due",$F706="Due today",$F706="Spike"),$C706,0))</f>
        <v/>
      </c>
      <c r="H706" s="8" t="str">
        <f aca="false">IF($A706="","",SUBSTITUTE(SUBSTITUTE(SUBSTITUTE($A706&amp;"","~","~~"),"*","~*"),"?","~?"))</f>
        <v/>
      </c>
    </row>
    <row r="707" customFormat="false" ht="15" hidden="false" customHeight="false" outlineLevel="0" collapsed="false">
      <c r="A707" s="11"/>
      <c r="B707" s="6"/>
      <c r="C707" s="11"/>
      <c r="D707" s="11"/>
      <c r="E707" s="8" t="str">
        <f aca="false">IF($A707="","",SUMIFS($C:$C,$A:$A,$H707,$B:$B,"&gt;="&amp;INT($B707),$B:$B,"&lt;"&amp;(INT($B707)+1)))</f>
        <v/>
      </c>
      <c r="F707" s="19" t="str">
        <f aca="false">IF($A707="","",IF(ISNA(MATCH($H707,Buffers!$AE:$AE,0)),"Not on Buffers",IF(NOT(ISNUMBER($B707)),"Needs a date",IF(INT($B707)&lt;PlanDate,"Past due",IF(INT($B707)=PlanDate,"Due today",IF(AND(INDEX(Buffers!$L:$L,MATCH($H707,Buffers!$AE:$AE,0))="Planned",$E707&gt;0,INT($B707)&lt;=PlanDate+ROUNDUP(IF(ISNUMBER(SpikeHorizon),SpikeHorizon,INDEX(Buffers!$D:$D,MATCH($H707,Buffers!$AE:$AE,0))),0),$E707&gt;=SpikePct*INDEX(Buffers!$P:$P,MATCH($H707,Buffers!$AE:$AE,0))),"Spike","Not qualified"))))))</f>
        <v/>
      </c>
      <c r="G707" s="8" t="str">
        <f aca="false">IF($A707="","",IF(OR($F707="Past due",$F707="Due today",$F707="Spike"),$C707,0))</f>
        <v/>
      </c>
      <c r="H707" s="8" t="str">
        <f aca="false">IF($A707="","",SUBSTITUTE(SUBSTITUTE(SUBSTITUTE($A707&amp;"","~","~~"),"*","~*"),"?","~?"))</f>
        <v/>
      </c>
    </row>
    <row r="708" customFormat="false" ht="15" hidden="false" customHeight="false" outlineLevel="0" collapsed="false">
      <c r="A708" s="11"/>
      <c r="B708" s="6"/>
      <c r="C708" s="11"/>
      <c r="D708" s="11"/>
      <c r="E708" s="8" t="str">
        <f aca="false">IF($A708="","",SUMIFS($C:$C,$A:$A,$H708,$B:$B,"&gt;="&amp;INT($B708),$B:$B,"&lt;"&amp;(INT($B708)+1)))</f>
        <v/>
      </c>
      <c r="F708" s="19" t="str">
        <f aca="false">IF($A708="","",IF(ISNA(MATCH($H708,Buffers!$AE:$AE,0)),"Not on Buffers",IF(NOT(ISNUMBER($B708)),"Needs a date",IF(INT($B708)&lt;PlanDate,"Past due",IF(INT($B708)=PlanDate,"Due today",IF(AND(INDEX(Buffers!$L:$L,MATCH($H708,Buffers!$AE:$AE,0))="Planned",$E708&gt;0,INT($B708)&lt;=PlanDate+ROUNDUP(IF(ISNUMBER(SpikeHorizon),SpikeHorizon,INDEX(Buffers!$D:$D,MATCH($H708,Buffers!$AE:$AE,0))),0),$E708&gt;=SpikePct*INDEX(Buffers!$P:$P,MATCH($H708,Buffers!$AE:$AE,0))),"Spike","Not qualified"))))))</f>
        <v/>
      </c>
      <c r="G708" s="8" t="str">
        <f aca="false">IF($A708="","",IF(OR($F708="Past due",$F708="Due today",$F708="Spike"),$C708,0))</f>
        <v/>
      </c>
      <c r="H708" s="8" t="str">
        <f aca="false">IF($A708="","",SUBSTITUTE(SUBSTITUTE(SUBSTITUTE($A708&amp;"","~","~~"),"*","~*"),"?","~?"))</f>
        <v/>
      </c>
    </row>
    <row r="709" customFormat="false" ht="15" hidden="false" customHeight="false" outlineLevel="0" collapsed="false">
      <c r="A709" s="11"/>
      <c r="B709" s="6"/>
      <c r="C709" s="11"/>
      <c r="D709" s="11"/>
      <c r="E709" s="8" t="str">
        <f aca="false">IF($A709="","",SUMIFS($C:$C,$A:$A,$H709,$B:$B,"&gt;="&amp;INT($B709),$B:$B,"&lt;"&amp;(INT($B709)+1)))</f>
        <v/>
      </c>
      <c r="F709" s="19" t="str">
        <f aca="false">IF($A709="","",IF(ISNA(MATCH($H709,Buffers!$AE:$AE,0)),"Not on Buffers",IF(NOT(ISNUMBER($B709)),"Needs a date",IF(INT($B709)&lt;PlanDate,"Past due",IF(INT($B709)=PlanDate,"Due today",IF(AND(INDEX(Buffers!$L:$L,MATCH($H709,Buffers!$AE:$AE,0))="Planned",$E709&gt;0,INT($B709)&lt;=PlanDate+ROUNDUP(IF(ISNUMBER(SpikeHorizon),SpikeHorizon,INDEX(Buffers!$D:$D,MATCH($H709,Buffers!$AE:$AE,0))),0),$E709&gt;=SpikePct*INDEX(Buffers!$P:$P,MATCH($H709,Buffers!$AE:$AE,0))),"Spike","Not qualified"))))))</f>
        <v/>
      </c>
      <c r="G709" s="8" t="str">
        <f aca="false">IF($A709="","",IF(OR($F709="Past due",$F709="Due today",$F709="Spike"),$C709,0))</f>
        <v/>
      </c>
      <c r="H709" s="8" t="str">
        <f aca="false">IF($A709="","",SUBSTITUTE(SUBSTITUTE(SUBSTITUTE($A709&amp;"","~","~~"),"*","~*"),"?","~?"))</f>
        <v/>
      </c>
    </row>
    <row r="710" customFormat="false" ht="15" hidden="false" customHeight="false" outlineLevel="0" collapsed="false">
      <c r="A710" s="11"/>
      <c r="B710" s="6"/>
      <c r="C710" s="11"/>
      <c r="D710" s="11"/>
      <c r="E710" s="8" t="str">
        <f aca="false">IF($A710="","",SUMIFS($C:$C,$A:$A,$H710,$B:$B,"&gt;="&amp;INT($B710),$B:$B,"&lt;"&amp;(INT($B710)+1)))</f>
        <v/>
      </c>
      <c r="F710" s="19" t="str">
        <f aca="false">IF($A710="","",IF(ISNA(MATCH($H710,Buffers!$AE:$AE,0)),"Not on Buffers",IF(NOT(ISNUMBER($B710)),"Needs a date",IF(INT($B710)&lt;PlanDate,"Past due",IF(INT($B710)=PlanDate,"Due today",IF(AND(INDEX(Buffers!$L:$L,MATCH($H710,Buffers!$AE:$AE,0))="Planned",$E710&gt;0,INT($B710)&lt;=PlanDate+ROUNDUP(IF(ISNUMBER(SpikeHorizon),SpikeHorizon,INDEX(Buffers!$D:$D,MATCH($H710,Buffers!$AE:$AE,0))),0),$E710&gt;=SpikePct*INDEX(Buffers!$P:$P,MATCH($H710,Buffers!$AE:$AE,0))),"Spike","Not qualified"))))))</f>
        <v/>
      </c>
      <c r="G710" s="8" t="str">
        <f aca="false">IF($A710="","",IF(OR($F710="Past due",$F710="Due today",$F710="Spike"),$C710,0))</f>
        <v/>
      </c>
      <c r="H710" s="8" t="str">
        <f aca="false">IF($A710="","",SUBSTITUTE(SUBSTITUTE(SUBSTITUTE($A710&amp;"","~","~~"),"*","~*"),"?","~?"))</f>
        <v/>
      </c>
    </row>
    <row r="711" customFormat="false" ht="15" hidden="false" customHeight="false" outlineLevel="0" collapsed="false">
      <c r="A711" s="11"/>
      <c r="B711" s="6"/>
      <c r="C711" s="11"/>
      <c r="D711" s="11"/>
      <c r="E711" s="8" t="str">
        <f aca="false">IF($A711="","",SUMIFS($C:$C,$A:$A,$H711,$B:$B,"&gt;="&amp;INT($B711),$B:$B,"&lt;"&amp;(INT($B711)+1)))</f>
        <v/>
      </c>
      <c r="F711" s="19" t="str">
        <f aca="false">IF($A711="","",IF(ISNA(MATCH($H711,Buffers!$AE:$AE,0)),"Not on Buffers",IF(NOT(ISNUMBER($B711)),"Needs a date",IF(INT($B711)&lt;PlanDate,"Past due",IF(INT($B711)=PlanDate,"Due today",IF(AND(INDEX(Buffers!$L:$L,MATCH($H711,Buffers!$AE:$AE,0))="Planned",$E711&gt;0,INT($B711)&lt;=PlanDate+ROUNDUP(IF(ISNUMBER(SpikeHorizon),SpikeHorizon,INDEX(Buffers!$D:$D,MATCH($H711,Buffers!$AE:$AE,0))),0),$E711&gt;=SpikePct*INDEX(Buffers!$P:$P,MATCH($H711,Buffers!$AE:$AE,0))),"Spike","Not qualified"))))))</f>
        <v/>
      </c>
      <c r="G711" s="8" t="str">
        <f aca="false">IF($A711="","",IF(OR($F711="Past due",$F711="Due today",$F711="Spike"),$C711,0))</f>
        <v/>
      </c>
      <c r="H711" s="8" t="str">
        <f aca="false">IF($A711="","",SUBSTITUTE(SUBSTITUTE(SUBSTITUTE($A711&amp;"","~","~~"),"*","~*"),"?","~?"))</f>
        <v/>
      </c>
    </row>
    <row r="712" customFormat="false" ht="15" hidden="false" customHeight="false" outlineLevel="0" collapsed="false">
      <c r="A712" s="11"/>
      <c r="B712" s="6"/>
      <c r="C712" s="11"/>
      <c r="D712" s="11"/>
      <c r="E712" s="8" t="str">
        <f aca="false">IF($A712="","",SUMIFS($C:$C,$A:$A,$H712,$B:$B,"&gt;="&amp;INT($B712),$B:$B,"&lt;"&amp;(INT($B712)+1)))</f>
        <v/>
      </c>
      <c r="F712" s="19" t="str">
        <f aca="false">IF($A712="","",IF(ISNA(MATCH($H712,Buffers!$AE:$AE,0)),"Not on Buffers",IF(NOT(ISNUMBER($B712)),"Needs a date",IF(INT($B712)&lt;PlanDate,"Past due",IF(INT($B712)=PlanDate,"Due today",IF(AND(INDEX(Buffers!$L:$L,MATCH($H712,Buffers!$AE:$AE,0))="Planned",$E712&gt;0,INT($B712)&lt;=PlanDate+ROUNDUP(IF(ISNUMBER(SpikeHorizon),SpikeHorizon,INDEX(Buffers!$D:$D,MATCH($H712,Buffers!$AE:$AE,0))),0),$E712&gt;=SpikePct*INDEX(Buffers!$P:$P,MATCH($H712,Buffers!$AE:$AE,0))),"Spike","Not qualified"))))))</f>
        <v/>
      </c>
      <c r="G712" s="8" t="str">
        <f aca="false">IF($A712="","",IF(OR($F712="Past due",$F712="Due today",$F712="Spike"),$C712,0))</f>
        <v/>
      </c>
      <c r="H712" s="8" t="str">
        <f aca="false">IF($A712="","",SUBSTITUTE(SUBSTITUTE(SUBSTITUTE($A712&amp;"","~","~~"),"*","~*"),"?","~?"))</f>
        <v/>
      </c>
    </row>
    <row r="713" customFormat="false" ht="15" hidden="false" customHeight="false" outlineLevel="0" collapsed="false">
      <c r="A713" s="11"/>
      <c r="B713" s="6"/>
      <c r="C713" s="11"/>
      <c r="D713" s="11"/>
      <c r="E713" s="8" t="str">
        <f aca="false">IF($A713="","",SUMIFS($C:$C,$A:$A,$H713,$B:$B,"&gt;="&amp;INT($B713),$B:$B,"&lt;"&amp;(INT($B713)+1)))</f>
        <v/>
      </c>
      <c r="F713" s="19" t="str">
        <f aca="false">IF($A713="","",IF(ISNA(MATCH($H713,Buffers!$AE:$AE,0)),"Not on Buffers",IF(NOT(ISNUMBER($B713)),"Needs a date",IF(INT($B713)&lt;PlanDate,"Past due",IF(INT($B713)=PlanDate,"Due today",IF(AND(INDEX(Buffers!$L:$L,MATCH($H713,Buffers!$AE:$AE,0))="Planned",$E713&gt;0,INT($B713)&lt;=PlanDate+ROUNDUP(IF(ISNUMBER(SpikeHorizon),SpikeHorizon,INDEX(Buffers!$D:$D,MATCH($H713,Buffers!$AE:$AE,0))),0),$E713&gt;=SpikePct*INDEX(Buffers!$P:$P,MATCH($H713,Buffers!$AE:$AE,0))),"Spike","Not qualified"))))))</f>
        <v/>
      </c>
      <c r="G713" s="8" t="str">
        <f aca="false">IF($A713="","",IF(OR($F713="Past due",$F713="Due today",$F713="Spike"),$C713,0))</f>
        <v/>
      </c>
      <c r="H713" s="8" t="str">
        <f aca="false">IF($A713="","",SUBSTITUTE(SUBSTITUTE(SUBSTITUTE($A713&amp;"","~","~~"),"*","~*"),"?","~?"))</f>
        <v/>
      </c>
    </row>
    <row r="714" customFormat="false" ht="15" hidden="false" customHeight="false" outlineLevel="0" collapsed="false">
      <c r="A714" s="11"/>
      <c r="B714" s="6"/>
      <c r="C714" s="11"/>
      <c r="D714" s="11"/>
      <c r="E714" s="8" t="str">
        <f aca="false">IF($A714="","",SUMIFS($C:$C,$A:$A,$H714,$B:$B,"&gt;="&amp;INT($B714),$B:$B,"&lt;"&amp;(INT($B714)+1)))</f>
        <v/>
      </c>
      <c r="F714" s="19" t="str">
        <f aca="false">IF($A714="","",IF(ISNA(MATCH($H714,Buffers!$AE:$AE,0)),"Not on Buffers",IF(NOT(ISNUMBER($B714)),"Needs a date",IF(INT($B714)&lt;PlanDate,"Past due",IF(INT($B714)=PlanDate,"Due today",IF(AND(INDEX(Buffers!$L:$L,MATCH($H714,Buffers!$AE:$AE,0))="Planned",$E714&gt;0,INT($B714)&lt;=PlanDate+ROUNDUP(IF(ISNUMBER(SpikeHorizon),SpikeHorizon,INDEX(Buffers!$D:$D,MATCH($H714,Buffers!$AE:$AE,0))),0),$E714&gt;=SpikePct*INDEX(Buffers!$P:$P,MATCH($H714,Buffers!$AE:$AE,0))),"Spike","Not qualified"))))))</f>
        <v/>
      </c>
      <c r="G714" s="8" t="str">
        <f aca="false">IF($A714="","",IF(OR($F714="Past due",$F714="Due today",$F714="Spike"),$C714,0))</f>
        <v/>
      </c>
      <c r="H714" s="8" t="str">
        <f aca="false">IF($A714="","",SUBSTITUTE(SUBSTITUTE(SUBSTITUTE($A714&amp;"","~","~~"),"*","~*"),"?","~?"))</f>
        <v/>
      </c>
    </row>
    <row r="715" customFormat="false" ht="15" hidden="false" customHeight="false" outlineLevel="0" collapsed="false">
      <c r="A715" s="11"/>
      <c r="B715" s="6"/>
      <c r="C715" s="11"/>
      <c r="D715" s="11"/>
      <c r="E715" s="8" t="str">
        <f aca="false">IF($A715="","",SUMIFS($C:$C,$A:$A,$H715,$B:$B,"&gt;="&amp;INT($B715),$B:$B,"&lt;"&amp;(INT($B715)+1)))</f>
        <v/>
      </c>
      <c r="F715" s="19" t="str">
        <f aca="false">IF($A715="","",IF(ISNA(MATCH($H715,Buffers!$AE:$AE,0)),"Not on Buffers",IF(NOT(ISNUMBER($B715)),"Needs a date",IF(INT($B715)&lt;PlanDate,"Past due",IF(INT($B715)=PlanDate,"Due today",IF(AND(INDEX(Buffers!$L:$L,MATCH($H715,Buffers!$AE:$AE,0))="Planned",$E715&gt;0,INT($B715)&lt;=PlanDate+ROUNDUP(IF(ISNUMBER(SpikeHorizon),SpikeHorizon,INDEX(Buffers!$D:$D,MATCH($H715,Buffers!$AE:$AE,0))),0),$E715&gt;=SpikePct*INDEX(Buffers!$P:$P,MATCH($H715,Buffers!$AE:$AE,0))),"Spike","Not qualified"))))))</f>
        <v/>
      </c>
      <c r="G715" s="8" t="str">
        <f aca="false">IF($A715="","",IF(OR($F715="Past due",$F715="Due today",$F715="Spike"),$C715,0))</f>
        <v/>
      </c>
      <c r="H715" s="8" t="str">
        <f aca="false">IF($A715="","",SUBSTITUTE(SUBSTITUTE(SUBSTITUTE($A715&amp;"","~","~~"),"*","~*"),"?","~?"))</f>
        <v/>
      </c>
    </row>
    <row r="716" customFormat="false" ht="15" hidden="false" customHeight="false" outlineLevel="0" collapsed="false">
      <c r="A716" s="11"/>
      <c r="B716" s="6"/>
      <c r="C716" s="11"/>
      <c r="D716" s="11"/>
      <c r="E716" s="8" t="str">
        <f aca="false">IF($A716="","",SUMIFS($C:$C,$A:$A,$H716,$B:$B,"&gt;="&amp;INT($B716),$B:$B,"&lt;"&amp;(INT($B716)+1)))</f>
        <v/>
      </c>
      <c r="F716" s="19" t="str">
        <f aca="false">IF($A716="","",IF(ISNA(MATCH($H716,Buffers!$AE:$AE,0)),"Not on Buffers",IF(NOT(ISNUMBER($B716)),"Needs a date",IF(INT($B716)&lt;PlanDate,"Past due",IF(INT($B716)=PlanDate,"Due today",IF(AND(INDEX(Buffers!$L:$L,MATCH($H716,Buffers!$AE:$AE,0))="Planned",$E716&gt;0,INT($B716)&lt;=PlanDate+ROUNDUP(IF(ISNUMBER(SpikeHorizon),SpikeHorizon,INDEX(Buffers!$D:$D,MATCH($H716,Buffers!$AE:$AE,0))),0),$E716&gt;=SpikePct*INDEX(Buffers!$P:$P,MATCH($H716,Buffers!$AE:$AE,0))),"Spike","Not qualified"))))))</f>
        <v/>
      </c>
      <c r="G716" s="8" t="str">
        <f aca="false">IF($A716="","",IF(OR($F716="Past due",$F716="Due today",$F716="Spike"),$C716,0))</f>
        <v/>
      </c>
      <c r="H716" s="8" t="str">
        <f aca="false">IF($A716="","",SUBSTITUTE(SUBSTITUTE(SUBSTITUTE($A716&amp;"","~","~~"),"*","~*"),"?","~?"))</f>
        <v/>
      </c>
    </row>
    <row r="717" customFormat="false" ht="15" hidden="false" customHeight="false" outlineLevel="0" collapsed="false">
      <c r="A717" s="11"/>
      <c r="B717" s="6"/>
      <c r="C717" s="11"/>
      <c r="D717" s="11"/>
      <c r="E717" s="8" t="str">
        <f aca="false">IF($A717="","",SUMIFS($C:$C,$A:$A,$H717,$B:$B,"&gt;="&amp;INT($B717),$B:$B,"&lt;"&amp;(INT($B717)+1)))</f>
        <v/>
      </c>
      <c r="F717" s="19" t="str">
        <f aca="false">IF($A717="","",IF(ISNA(MATCH($H717,Buffers!$AE:$AE,0)),"Not on Buffers",IF(NOT(ISNUMBER($B717)),"Needs a date",IF(INT($B717)&lt;PlanDate,"Past due",IF(INT($B717)=PlanDate,"Due today",IF(AND(INDEX(Buffers!$L:$L,MATCH($H717,Buffers!$AE:$AE,0))="Planned",$E717&gt;0,INT($B717)&lt;=PlanDate+ROUNDUP(IF(ISNUMBER(SpikeHorizon),SpikeHorizon,INDEX(Buffers!$D:$D,MATCH($H717,Buffers!$AE:$AE,0))),0),$E717&gt;=SpikePct*INDEX(Buffers!$P:$P,MATCH($H717,Buffers!$AE:$AE,0))),"Spike","Not qualified"))))))</f>
        <v/>
      </c>
      <c r="G717" s="8" t="str">
        <f aca="false">IF($A717="","",IF(OR($F717="Past due",$F717="Due today",$F717="Spike"),$C717,0))</f>
        <v/>
      </c>
      <c r="H717" s="8" t="str">
        <f aca="false">IF($A717="","",SUBSTITUTE(SUBSTITUTE(SUBSTITUTE($A717&amp;"","~","~~"),"*","~*"),"?","~?"))</f>
        <v/>
      </c>
    </row>
    <row r="718" customFormat="false" ht="15" hidden="false" customHeight="false" outlineLevel="0" collapsed="false">
      <c r="A718" s="11"/>
      <c r="B718" s="6"/>
      <c r="C718" s="11"/>
      <c r="D718" s="11"/>
      <c r="E718" s="8" t="str">
        <f aca="false">IF($A718="","",SUMIFS($C:$C,$A:$A,$H718,$B:$B,"&gt;="&amp;INT($B718),$B:$B,"&lt;"&amp;(INT($B718)+1)))</f>
        <v/>
      </c>
      <c r="F718" s="19" t="str">
        <f aca="false">IF($A718="","",IF(ISNA(MATCH($H718,Buffers!$AE:$AE,0)),"Not on Buffers",IF(NOT(ISNUMBER($B718)),"Needs a date",IF(INT($B718)&lt;PlanDate,"Past due",IF(INT($B718)=PlanDate,"Due today",IF(AND(INDEX(Buffers!$L:$L,MATCH($H718,Buffers!$AE:$AE,0))="Planned",$E718&gt;0,INT($B718)&lt;=PlanDate+ROUNDUP(IF(ISNUMBER(SpikeHorizon),SpikeHorizon,INDEX(Buffers!$D:$D,MATCH($H718,Buffers!$AE:$AE,0))),0),$E718&gt;=SpikePct*INDEX(Buffers!$P:$P,MATCH($H718,Buffers!$AE:$AE,0))),"Spike","Not qualified"))))))</f>
        <v/>
      </c>
      <c r="G718" s="8" t="str">
        <f aca="false">IF($A718="","",IF(OR($F718="Past due",$F718="Due today",$F718="Spike"),$C718,0))</f>
        <v/>
      </c>
      <c r="H718" s="8" t="str">
        <f aca="false">IF($A718="","",SUBSTITUTE(SUBSTITUTE(SUBSTITUTE($A718&amp;"","~","~~"),"*","~*"),"?","~?"))</f>
        <v/>
      </c>
    </row>
    <row r="719" customFormat="false" ht="15" hidden="false" customHeight="false" outlineLevel="0" collapsed="false">
      <c r="A719" s="11"/>
      <c r="B719" s="6"/>
      <c r="C719" s="11"/>
      <c r="D719" s="11"/>
      <c r="E719" s="8" t="str">
        <f aca="false">IF($A719="","",SUMIFS($C:$C,$A:$A,$H719,$B:$B,"&gt;="&amp;INT($B719),$B:$B,"&lt;"&amp;(INT($B719)+1)))</f>
        <v/>
      </c>
      <c r="F719" s="19" t="str">
        <f aca="false">IF($A719="","",IF(ISNA(MATCH($H719,Buffers!$AE:$AE,0)),"Not on Buffers",IF(NOT(ISNUMBER($B719)),"Needs a date",IF(INT($B719)&lt;PlanDate,"Past due",IF(INT($B719)=PlanDate,"Due today",IF(AND(INDEX(Buffers!$L:$L,MATCH($H719,Buffers!$AE:$AE,0))="Planned",$E719&gt;0,INT($B719)&lt;=PlanDate+ROUNDUP(IF(ISNUMBER(SpikeHorizon),SpikeHorizon,INDEX(Buffers!$D:$D,MATCH($H719,Buffers!$AE:$AE,0))),0),$E719&gt;=SpikePct*INDEX(Buffers!$P:$P,MATCH($H719,Buffers!$AE:$AE,0))),"Spike","Not qualified"))))))</f>
        <v/>
      </c>
      <c r="G719" s="8" t="str">
        <f aca="false">IF($A719="","",IF(OR($F719="Past due",$F719="Due today",$F719="Spike"),$C719,0))</f>
        <v/>
      </c>
      <c r="H719" s="8" t="str">
        <f aca="false">IF($A719="","",SUBSTITUTE(SUBSTITUTE(SUBSTITUTE($A719&amp;"","~","~~"),"*","~*"),"?","~?"))</f>
        <v/>
      </c>
    </row>
    <row r="720" customFormat="false" ht="15" hidden="false" customHeight="false" outlineLevel="0" collapsed="false">
      <c r="A720" s="11"/>
      <c r="B720" s="6"/>
      <c r="C720" s="11"/>
      <c r="D720" s="11"/>
      <c r="E720" s="8" t="str">
        <f aca="false">IF($A720="","",SUMIFS($C:$C,$A:$A,$H720,$B:$B,"&gt;="&amp;INT($B720),$B:$B,"&lt;"&amp;(INT($B720)+1)))</f>
        <v/>
      </c>
      <c r="F720" s="19" t="str">
        <f aca="false">IF($A720="","",IF(ISNA(MATCH($H720,Buffers!$AE:$AE,0)),"Not on Buffers",IF(NOT(ISNUMBER($B720)),"Needs a date",IF(INT($B720)&lt;PlanDate,"Past due",IF(INT($B720)=PlanDate,"Due today",IF(AND(INDEX(Buffers!$L:$L,MATCH($H720,Buffers!$AE:$AE,0))="Planned",$E720&gt;0,INT($B720)&lt;=PlanDate+ROUNDUP(IF(ISNUMBER(SpikeHorizon),SpikeHorizon,INDEX(Buffers!$D:$D,MATCH($H720,Buffers!$AE:$AE,0))),0),$E720&gt;=SpikePct*INDEX(Buffers!$P:$P,MATCH($H720,Buffers!$AE:$AE,0))),"Spike","Not qualified"))))))</f>
        <v/>
      </c>
      <c r="G720" s="8" t="str">
        <f aca="false">IF($A720="","",IF(OR($F720="Past due",$F720="Due today",$F720="Spike"),$C720,0))</f>
        <v/>
      </c>
      <c r="H720" s="8" t="str">
        <f aca="false">IF($A720="","",SUBSTITUTE(SUBSTITUTE(SUBSTITUTE($A720&amp;"","~","~~"),"*","~*"),"?","~?"))</f>
        <v/>
      </c>
    </row>
    <row r="721" customFormat="false" ht="15" hidden="false" customHeight="false" outlineLevel="0" collapsed="false">
      <c r="A721" s="11"/>
      <c r="B721" s="6"/>
      <c r="C721" s="11"/>
      <c r="D721" s="11"/>
      <c r="E721" s="8" t="str">
        <f aca="false">IF($A721="","",SUMIFS($C:$C,$A:$A,$H721,$B:$B,"&gt;="&amp;INT($B721),$B:$B,"&lt;"&amp;(INT($B721)+1)))</f>
        <v/>
      </c>
      <c r="F721" s="19" t="str">
        <f aca="false">IF($A721="","",IF(ISNA(MATCH($H721,Buffers!$AE:$AE,0)),"Not on Buffers",IF(NOT(ISNUMBER($B721)),"Needs a date",IF(INT($B721)&lt;PlanDate,"Past due",IF(INT($B721)=PlanDate,"Due today",IF(AND(INDEX(Buffers!$L:$L,MATCH($H721,Buffers!$AE:$AE,0))="Planned",$E721&gt;0,INT($B721)&lt;=PlanDate+ROUNDUP(IF(ISNUMBER(SpikeHorizon),SpikeHorizon,INDEX(Buffers!$D:$D,MATCH($H721,Buffers!$AE:$AE,0))),0),$E721&gt;=SpikePct*INDEX(Buffers!$P:$P,MATCH($H721,Buffers!$AE:$AE,0))),"Spike","Not qualified"))))))</f>
        <v/>
      </c>
      <c r="G721" s="8" t="str">
        <f aca="false">IF($A721="","",IF(OR($F721="Past due",$F721="Due today",$F721="Spike"),$C721,0))</f>
        <v/>
      </c>
      <c r="H721" s="8" t="str">
        <f aca="false">IF($A721="","",SUBSTITUTE(SUBSTITUTE(SUBSTITUTE($A721&amp;"","~","~~"),"*","~*"),"?","~?"))</f>
        <v/>
      </c>
    </row>
    <row r="722" customFormat="false" ht="15" hidden="false" customHeight="false" outlineLevel="0" collapsed="false">
      <c r="A722" s="11"/>
      <c r="B722" s="6"/>
      <c r="C722" s="11"/>
      <c r="D722" s="11"/>
      <c r="E722" s="8" t="str">
        <f aca="false">IF($A722="","",SUMIFS($C:$C,$A:$A,$H722,$B:$B,"&gt;="&amp;INT($B722),$B:$B,"&lt;"&amp;(INT($B722)+1)))</f>
        <v/>
      </c>
      <c r="F722" s="19" t="str">
        <f aca="false">IF($A722="","",IF(ISNA(MATCH($H722,Buffers!$AE:$AE,0)),"Not on Buffers",IF(NOT(ISNUMBER($B722)),"Needs a date",IF(INT($B722)&lt;PlanDate,"Past due",IF(INT($B722)=PlanDate,"Due today",IF(AND(INDEX(Buffers!$L:$L,MATCH($H722,Buffers!$AE:$AE,0))="Planned",$E722&gt;0,INT($B722)&lt;=PlanDate+ROUNDUP(IF(ISNUMBER(SpikeHorizon),SpikeHorizon,INDEX(Buffers!$D:$D,MATCH($H722,Buffers!$AE:$AE,0))),0),$E722&gt;=SpikePct*INDEX(Buffers!$P:$P,MATCH($H722,Buffers!$AE:$AE,0))),"Spike","Not qualified"))))))</f>
        <v/>
      </c>
      <c r="G722" s="8" t="str">
        <f aca="false">IF($A722="","",IF(OR($F722="Past due",$F722="Due today",$F722="Spike"),$C722,0))</f>
        <v/>
      </c>
      <c r="H722" s="8" t="str">
        <f aca="false">IF($A722="","",SUBSTITUTE(SUBSTITUTE(SUBSTITUTE($A722&amp;"","~","~~"),"*","~*"),"?","~?"))</f>
        <v/>
      </c>
    </row>
    <row r="723" customFormat="false" ht="15" hidden="false" customHeight="false" outlineLevel="0" collapsed="false">
      <c r="A723" s="11"/>
      <c r="B723" s="6"/>
      <c r="C723" s="11"/>
      <c r="D723" s="11"/>
      <c r="E723" s="8" t="str">
        <f aca="false">IF($A723="","",SUMIFS($C:$C,$A:$A,$H723,$B:$B,"&gt;="&amp;INT($B723),$B:$B,"&lt;"&amp;(INT($B723)+1)))</f>
        <v/>
      </c>
      <c r="F723" s="19" t="str">
        <f aca="false">IF($A723="","",IF(ISNA(MATCH($H723,Buffers!$AE:$AE,0)),"Not on Buffers",IF(NOT(ISNUMBER($B723)),"Needs a date",IF(INT($B723)&lt;PlanDate,"Past due",IF(INT($B723)=PlanDate,"Due today",IF(AND(INDEX(Buffers!$L:$L,MATCH($H723,Buffers!$AE:$AE,0))="Planned",$E723&gt;0,INT($B723)&lt;=PlanDate+ROUNDUP(IF(ISNUMBER(SpikeHorizon),SpikeHorizon,INDEX(Buffers!$D:$D,MATCH($H723,Buffers!$AE:$AE,0))),0),$E723&gt;=SpikePct*INDEX(Buffers!$P:$P,MATCH($H723,Buffers!$AE:$AE,0))),"Spike","Not qualified"))))))</f>
        <v/>
      </c>
      <c r="G723" s="8" t="str">
        <f aca="false">IF($A723="","",IF(OR($F723="Past due",$F723="Due today",$F723="Spike"),$C723,0))</f>
        <v/>
      </c>
      <c r="H723" s="8" t="str">
        <f aca="false">IF($A723="","",SUBSTITUTE(SUBSTITUTE(SUBSTITUTE($A723&amp;"","~","~~"),"*","~*"),"?","~?"))</f>
        <v/>
      </c>
    </row>
    <row r="724" customFormat="false" ht="15" hidden="false" customHeight="false" outlineLevel="0" collapsed="false">
      <c r="A724" s="11"/>
      <c r="B724" s="6"/>
      <c r="C724" s="11"/>
      <c r="D724" s="11"/>
      <c r="E724" s="8" t="str">
        <f aca="false">IF($A724="","",SUMIFS($C:$C,$A:$A,$H724,$B:$B,"&gt;="&amp;INT($B724),$B:$B,"&lt;"&amp;(INT($B724)+1)))</f>
        <v/>
      </c>
      <c r="F724" s="19" t="str">
        <f aca="false">IF($A724="","",IF(ISNA(MATCH($H724,Buffers!$AE:$AE,0)),"Not on Buffers",IF(NOT(ISNUMBER($B724)),"Needs a date",IF(INT($B724)&lt;PlanDate,"Past due",IF(INT($B724)=PlanDate,"Due today",IF(AND(INDEX(Buffers!$L:$L,MATCH($H724,Buffers!$AE:$AE,0))="Planned",$E724&gt;0,INT($B724)&lt;=PlanDate+ROUNDUP(IF(ISNUMBER(SpikeHorizon),SpikeHorizon,INDEX(Buffers!$D:$D,MATCH($H724,Buffers!$AE:$AE,0))),0),$E724&gt;=SpikePct*INDEX(Buffers!$P:$P,MATCH($H724,Buffers!$AE:$AE,0))),"Spike","Not qualified"))))))</f>
        <v/>
      </c>
      <c r="G724" s="8" t="str">
        <f aca="false">IF($A724="","",IF(OR($F724="Past due",$F724="Due today",$F724="Spike"),$C724,0))</f>
        <v/>
      </c>
      <c r="H724" s="8" t="str">
        <f aca="false">IF($A724="","",SUBSTITUTE(SUBSTITUTE(SUBSTITUTE($A724&amp;"","~","~~"),"*","~*"),"?","~?"))</f>
        <v/>
      </c>
    </row>
    <row r="725" customFormat="false" ht="15" hidden="false" customHeight="false" outlineLevel="0" collapsed="false">
      <c r="A725" s="11"/>
      <c r="B725" s="6"/>
      <c r="C725" s="11"/>
      <c r="D725" s="11"/>
      <c r="E725" s="8" t="str">
        <f aca="false">IF($A725="","",SUMIFS($C:$C,$A:$A,$H725,$B:$B,"&gt;="&amp;INT($B725),$B:$B,"&lt;"&amp;(INT($B725)+1)))</f>
        <v/>
      </c>
      <c r="F725" s="19" t="str">
        <f aca="false">IF($A725="","",IF(ISNA(MATCH($H725,Buffers!$AE:$AE,0)),"Not on Buffers",IF(NOT(ISNUMBER($B725)),"Needs a date",IF(INT($B725)&lt;PlanDate,"Past due",IF(INT($B725)=PlanDate,"Due today",IF(AND(INDEX(Buffers!$L:$L,MATCH($H725,Buffers!$AE:$AE,0))="Planned",$E725&gt;0,INT($B725)&lt;=PlanDate+ROUNDUP(IF(ISNUMBER(SpikeHorizon),SpikeHorizon,INDEX(Buffers!$D:$D,MATCH($H725,Buffers!$AE:$AE,0))),0),$E725&gt;=SpikePct*INDEX(Buffers!$P:$P,MATCH($H725,Buffers!$AE:$AE,0))),"Spike","Not qualified"))))))</f>
        <v/>
      </c>
      <c r="G725" s="8" t="str">
        <f aca="false">IF($A725="","",IF(OR($F725="Past due",$F725="Due today",$F725="Spike"),$C725,0))</f>
        <v/>
      </c>
      <c r="H725" s="8" t="str">
        <f aca="false">IF($A725="","",SUBSTITUTE(SUBSTITUTE(SUBSTITUTE($A725&amp;"","~","~~"),"*","~*"),"?","~?"))</f>
        <v/>
      </c>
    </row>
    <row r="726" customFormat="false" ht="15" hidden="false" customHeight="false" outlineLevel="0" collapsed="false">
      <c r="A726" s="11"/>
      <c r="B726" s="6"/>
      <c r="C726" s="11"/>
      <c r="D726" s="11"/>
      <c r="E726" s="8" t="str">
        <f aca="false">IF($A726="","",SUMIFS($C:$C,$A:$A,$H726,$B:$B,"&gt;="&amp;INT($B726),$B:$B,"&lt;"&amp;(INT($B726)+1)))</f>
        <v/>
      </c>
      <c r="F726" s="19" t="str">
        <f aca="false">IF($A726="","",IF(ISNA(MATCH($H726,Buffers!$AE:$AE,0)),"Not on Buffers",IF(NOT(ISNUMBER($B726)),"Needs a date",IF(INT($B726)&lt;PlanDate,"Past due",IF(INT($B726)=PlanDate,"Due today",IF(AND(INDEX(Buffers!$L:$L,MATCH($H726,Buffers!$AE:$AE,0))="Planned",$E726&gt;0,INT($B726)&lt;=PlanDate+ROUNDUP(IF(ISNUMBER(SpikeHorizon),SpikeHorizon,INDEX(Buffers!$D:$D,MATCH($H726,Buffers!$AE:$AE,0))),0),$E726&gt;=SpikePct*INDEX(Buffers!$P:$P,MATCH($H726,Buffers!$AE:$AE,0))),"Spike","Not qualified"))))))</f>
        <v/>
      </c>
      <c r="G726" s="8" t="str">
        <f aca="false">IF($A726="","",IF(OR($F726="Past due",$F726="Due today",$F726="Spike"),$C726,0))</f>
        <v/>
      </c>
      <c r="H726" s="8" t="str">
        <f aca="false">IF($A726="","",SUBSTITUTE(SUBSTITUTE(SUBSTITUTE($A726&amp;"","~","~~"),"*","~*"),"?","~?"))</f>
        <v/>
      </c>
    </row>
    <row r="727" customFormat="false" ht="15" hidden="false" customHeight="false" outlineLevel="0" collapsed="false">
      <c r="A727" s="11"/>
      <c r="B727" s="6"/>
      <c r="C727" s="11"/>
      <c r="D727" s="11"/>
      <c r="E727" s="8" t="str">
        <f aca="false">IF($A727="","",SUMIFS($C:$C,$A:$A,$H727,$B:$B,"&gt;="&amp;INT($B727),$B:$B,"&lt;"&amp;(INT($B727)+1)))</f>
        <v/>
      </c>
      <c r="F727" s="19" t="str">
        <f aca="false">IF($A727="","",IF(ISNA(MATCH($H727,Buffers!$AE:$AE,0)),"Not on Buffers",IF(NOT(ISNUMBER($B727)),"Needs a date",IF(INT($B727)&lt;PlanDate,"Past due",IF(INT($B727)=PlanDate,"Due today",IF(AND(INDEX(Buffers!$L:$L,MATCH($H727,Buffers!$AE:$AE,0))="Planned",$E727&gt;0,INT($B727)&lt;=PlanDate+ROUNDUP(IF(ISNUMBER(SpikeHorizon),SpikeHorizon,INDEX(Buffers!$D:$D,MATCH($H727,Buffers!$AE:$AE,0))),0),$E727&gt;=SpikePct*INDEX(Buffers!$P:$P,MATCH($H727,Buffers!$AE:$AE,0))),"Spike","Not qualified"))))))</f>
        <v/>
      </c>
      <c r="G727" s="8" t="str">
        <f aca="false">IF($A727="","",IF(OR($F727="Past due",$F727="Due today",$F727="Spike"),$C727,0))</f>
        <v/>
      </c>
      <c r="H727" s="8" t="str">
        <f aca="false">IF($A727="","",SUBSTITUTE(SUBSTITUTE(SUBSTITUTE($A727&amp;"","~","~~"),"*","~*"),"?","~?"))</f>
        <v/>
      </c>
    </row>
    <row r="728" customFormat="false" ht="15" hidden="false" customHeight="false" outlineLevel="0" collapsed="false">
      <c r="A728" s="11"/>
      <c r="B728" s="6"/>
      <c r="C728" s="11"/>
      <c r="D728" s="11"/>
      <c r="E728" s="8" t="str">
        <f aca="false">IF($A728="","",SUMIFS($C:$C,$A:$A,$H728,$B:$B,"&gt;="&amp;INT($B728),$B:$B,"&lt;"&amp;(INT($B728)+1)))</f>
        <v/>
      </c>
      <c r="F728" s="19" t="str">
        <f aca="false">IF($A728="","",IF(ISNA(MATCH($H728,Buffers!$AE:$AE,0)),"Not on Buffers",IF(NOT(ISNUMBER($B728)),"Needs a date",IF(INT($B728)&lt;PlanDate,"Past due",IF(INT($B728)=PlanDate,"Due today",IF(AND(INDEX(Buffers!$L:$L,MATCH($H728,Buffers!$AE:$AE,0))="Planned",$E728&gt;0,INT($B728)&lt;=PlanDate+ROUNDUP(IF(ISNUMBER(SpikeHorizon),SpikeHorizon,INDEX(Buffers!$D:$D,MATCH($H728,Buffers!$AE:$AE,0))),0),$E728&gt;=SpikePct*INDEX(Buffers!$P:$P,MATCH($H728,Buffers!$AE:$AE,0))),"Spike","Not qualified"))))))</f>
        <v/>
      </c>
      <c r="G728" s="8" t="str">
        <f aca="false">IF($A728="","",IF(OR($F728="Past due",$F728="Due today",$F728="Spike"),$C728,0))</f>
        <v/>
      </c>
      <c r="H728" s="8" t="str">
        <f aca="false">IF($A728="","",SUBSTITUTE(SUBSTITUTE(SUBSTITUTE($A728&amp;"","~","~~"),"*","~*"),"?","~?"))</f>
        <v/>
      </c>
    </row>
    <row r="729" customFormat="false" ht="15" hidden="false" customHeight="false" outlineLevel="0" collapsed="false">
      <c r="A729" s="11"/>
      <c r="B729" s="6"/>
      <c r="C729" s="11"/>
      <c r="D729" s="11"/>
      <c r="E729" s="8" t="str">
        <f aca="false">IF($A729="","",SUMIFS($C:$C,$A:$A,$H729,$B:$B,"&gt;="&amp;INT($B729),$B:$B,"&lt;"&amp;(INT($B729)+1)))</f>
        <v/>
      </c>
      <c r="F729" s="19" t="str">
        <f aca="false">IF($A729="","",IF(ISNA(MATCH($H729,Buffers!$AE:$AE,0)),"Not on Buffers",IF(NOT(ISNUMBER($B729)),"Needs a date",IF(INT($B729)&lt;PlanDate,"Past due",IF(INT($B729)=PlanDate,"Due today",IF(AND(INDEX(Buffers!$L:$L,MATCH($H729,Buffers!$AE:$AE,0))="Planned",$E729&gt;0,INT($B729)&lt;=PlanDate+ROUNDUP(IF(ISNUMBER(SpikeHorizon),SpikeHorizon,INDEX(Buffers!$D:$D,MATCH($H729,Buffers!$AE:$AE,0))),0),$E729&gt;=SpikePct*INDEX(Buffers!$P:$P,MATCH($H729,Buffers!$AE:$AE,0))),"Spike","Not qualified"))))))</f>
        <v/>
      </c>
      <c r="G729" s="8" t="str">
        <f aca="false">IF($A729="","",IF(OR($F729="Past due",$F729="Due today",$F729="Spike"),$C729,0))</f>
        <v/>
      </c>
      <c r="H729" s="8" t="str">
        <f aca="false">IF($A729="","",SUBSTITUTE(SUBSTITUTE(SUBSTITUTE($A729&amp;"","~","~~"),"*","~*"),"?","~?"))</f>
        <v/>
      </c>
    </row>
    <row r="730" customFormat="false" ht="15" hidden="false" customHeight="false" outlineLevel="0" collapsed="false">
      <c r="A730" s="11"/>
      <c r="B730" s="6"/>
      <c r="C730" s="11"/>
      <c r="D730" s="11"/>
      <c r="E730" s="8" t="str">
        <f aca="false">IF($A730="","",SUMIFS($C:$C,$A:$A,$H730,$B:$B,"&gt;="&amp;INT($B730),$B:$B,"&lt;"&amp;(INT($B730)+1)))</f>
        <v/>
      </c>
      <c r="F730" s="19" t="str">
        <f aca="false">IF($A730="","",IF(ISNA(MATCH($H730,Buffers!$AE:$AE,0)),"Not on Buffers",IF(NOT(ISNUMBER($B730)),"Needs a date",IF(INT($B730)&lt;PlanDate,"Past due",IF(INT($B730)=PlanDate,"Due today",IF(AND(INDEX(Buffers!$L:$L,MATCH($H730,Buffers!$AE:$AE,0))="Planned",$E730&gt;0,INT($B730)&lt;=PlanDate+ROUNDUP(IF(ISNUMBER(SpikeHorizon),SpikeHorizon,INDEX(Buffers!$D:$D,MATCH($H730,Buffers!$AE:$AE,0))),0),$E730&gt;=SpikePct*INDEX(Buffers!$P:$P,MATCH($H730,Buffers!$AE:$AE,0))),"Spike","Not qualified"))))))</f>
        <v/>
      </c>
      <c r="G730" s="8" t="str">
        <f aca="false">IF($A730="","",IF(OR($F730="Past due",$F730="Due today",$F730="Spike"),$C730,0))</f>
        <v/>
      </c>
      <c r="H730" s="8" t="str">
        <f aca="false">IF($A730="","",SUBSTITUTE(SUBSTITUTE(SUBSTITUTE($A730&amp;"","~","~~"),"*","~*"),"?","~?"))</f>
        <v/>
      </c>
    </row>
    <row r="731" customFormat="false" ht="15" hidden="false" customHeight="false" outlineLevel="0" collapsed="false">
      <c r="A731" s="11"/>
      <c r="B731" s="6"/>
      <c r="C731" s="11"/>
      <c r="D731" s="11"/>
      <c r="E731" s="8" t="str">
        <f aca="false">IF($A731="","",SUMIFS($C:$C,$A:$A,$H731,$B:$B,"&gt;="&amp;INT($B731),$B:$B,"&lt;"&amp;(INT($B731)+1)))</f>
        <v/>
      </c>
      <c r="F731" s="19" t="str">
        <f aca="false">IF($A731="","",IF(ISNA(MATCH($H731,Buffers!$AE:$AE,0)),"Not on Buffers",IF(NOT(ISNUMBER($B731)),"Needs a date",IF(INT($B731)&lt;PlanDate,"Past due",IF(INT($B731)=PlanDate,"Due today",IF(AND(INDEX(Buffers!$L:$L,MATCH($H731,Buffers!$AE:$AE,0))="Planned",$E731&gt;0,INT($B731)&lt;=PlanDate+ROUNDUP(IF(ISNUMBER(SpikeHorizon),SpikeHorizon,INDEX(Buffers!$D:$D,MATCH($H731,Buffers!$AE:$AE,0))),0),$E731&gt;=SpikePct*INDEX(Buffers!$P:$P,MATCH($H731,Buffers!$AE:$AE,0))),"Spike","Not qualified"))))))</f>
        <v/>
      </c>
      <c r="G731" s="8" t="str">
        <f aca="false">IF($A731="","",IF(OR($F731="Past due",$F731="Due today",$F731="Spike"),$C731,0))</f>
        <v/>
      </c>
      <c r="H731" s="8" t="str">
        <f aca="false">IF($A731="","",SUBSTITUTE(SUBSTITUTE(SUBSTITUTE($A731&amp;"","~","~~"),"*","~*"),"?","~?"))</f>
        <v/>
      </c>
    </row>
    <row r="732" customFormat="false" ht="15" hidden="false" customHeight="false" outlineLevel="0" collapsed="false">
      <c r="A732" s="11"/>
      <c r="B732" s="6"/>
      <c r="C732" s="11"/>
      <c r="D732" s="11"/>
      <c r="E732" s="8" t="str">
        <f aca="false">IF($A732="","",SUMIFS($C:$C,$A:$A,$H732,$B:$B,"&gt;="&amp;INT($B732),$B:$B,"&lt;"&amp;(INT($B732)+1)))</f>
        <v/>
      </c>
      <c r="F732" s="19" t="str">
        <f aca="false">IF($A732="","",IF(ISNA(MATCH($H732,Buffers!$AE:$AE,0)),"Not on Buffers",IF(NOT(ISNUMBER($B732)),"Needs a date",IF(INT($B732)&lt;PlanDate,"Past due",IF(INT($B732)=PlanDate,"Due today",IF(AND(INDEX(Buffers!$L:$L,MATCH($H732,Buffers!$AE:$AE,0))="Planned",$E732&gt;0,INT($B732)&lt;=PlanDate+ROUNDUP(IF(ISNUMBER(SpikeHorizon),SpikeHorizon,INDEX(Buffers!$D:$D,MATCH($H732,Buffers!$AE:$AE,0))),0),$E732&gt;=SpikePct*INDEX(Buffers!$P:$P,MATCH($H732,Buffers!$AE:$AE,0))),"Spike","Not qualified"))))))</f>
        <v/>
      </c>
      <c r="G732" s="8" t="str">
        <f aca="false">IF($A732="","",IF(OR($F732="Past due",$F732="Due today",$F732="Spike"),$C732,0))</f>
        <v/>
      </c>
      <c r="H732" s="8" t="str">
        <f aca="false">IF($A732="","",SUBSTITUTE(SUBSTITUTE(SUBSTITUTE($A732&amp;"","~","~~"),"*","~*"),"?","~?"))</f>
        <v/>
      </c>
    </row>
    <row r="733" customFormat="false" ht="15" hidden="false" customHeight="false" outlineLevel="0" collapsed="false">
      <c r="A733" s="11"/>
      <c r="B733" s="6"/>
      <c r="C733" s="11"/>
      <c r="D733" s="11"/>
      <c r="E733" s="8" t="str">
        <f aca="false">IF($A733="","",SUMIFS($C:$C,$A:$A,$H733,$B:$B,"&gt;="&amp;INT($B733),$B:$B,"&lt;"&amp;(INT($B733)+1)))</f>
        <v/>
      </c>
      <c r="F733" s="19" t="str">
        <f aca="false">IF($A733="","",IF(ISNA(MATCH($H733,Buffers!$AE:$AE,0)),"Not on Buffers",IF(NOT(ISNUMBER($B733)),"Needs a date",IF(INT($B733)&lt;PlanDate,"Past due",IF(INT($B733)=PlanDate,"Due today",IF(AND(INDEX(Buffers!$L:$L,MATCH($H733,Buffers!$AE:$AE,0))="Planned",$E733&gt;0,INT($B733)&lt;=PlanDate+ROUNDUP(IF(ISNUMBER(SpikeHorizon),SpikeHorizon,INDEX(Buffers!$D:$D,MATCH($H733,Buffers!$AE:$AE,0))),0),$E733&gt;=SpikePct*INDEX(Buffers!$P:$P,MATCH($H733,Buffers!$AE:$AE,0))),"Spike","Not qualified"))))))</f>
        <v/>
      </c>
      <c r="G733" s="8" t="str">
        <f aca="false">IF($A733="","",IF(OR($F733="Past due",$F733="Due today",$F733="Spike"),$C733,0))</f>
        <v/>
      </c>
      <c r="H733" s="8" t="str">
        <f aca="false">IF($A733="","",SUBSTITUTE(SUBSTITUTE(SUBSTITUTE($A733&amp;"","~","~~"),"*","~*"),"?","~?"))</f>
        <v/>
      </c>
    </row>
    <row r="734" customFormat="false" ht="15" hidden="false" customHeight="false" outlineLevel="0" collapsed="false">
      <c r="A734" s="11"/>
      <c r="B734" s="6"/>
      <c r="C734" s="11"/>
      <c r="D734" s="11"/>
      <c r="E734" s="8" t="str">
        <f aca="false">IF($A734="","",SUMIFS($C:$C,$A:$A,$H734,$B:$B,"&gt;="&amp;INT($B734),$B:$B,"&lt;"&amp;(INT($B734)+1)))</f>
        <v/>
      </c>
      <c r="F734" s="19" t="str">
        <f aca="false">IF($A734="","",IF(ISNA(MATCH($H734,Buffers!$AE:$AE,0)),"Not on Buffers",IF(NOT(ISNUMBER($B734)),"Needs a date",IF(INT($B734)&lt;PlanDate,"Past due",IF(INT($B734)=PlanDate,"Due today",IF(AND(INDEX(Buffers!$L:$L,MATCH($H734,Buffers!$AE:$AE,0))="Planned",$E734&gt;0,INT($B734)&lt;=PlanDate+ROUNDUP(IF(ISNUMBER(SpikeHorizon),SpikeHorizon,INDEX(Buffers!$D:$D,MATCH($H734,Buffers!$AE:$AE,0))),0),$E734&gt;=SpikePct*INDEX(Buffers!$P:$P,MATCH($H734,Buffers!$AE:$AE,0))),"Spike","Not qualified"))))))</f>
        <v/>
      </c>
      <c r="G734" s="8" t="str">
        <f aca="false">IF($A734="","",IF(OR($F734="Past due",$F734="Due today",$F734="Spike"),$C734,0))</f>
        <v/>
      </c>
      <c r="H734" s="8" t="str">
        <f aca="false">IF($A734="","",SUBSTITUTE(SUBSTITUTE(SUBSTITUTE($A734&amp;"","~","~~"),"*","~*"),"?","~?"))</f>
        <v/>
      </c>
    </row>
    <row r="735" customFormat="false" ht="15" hidden="false" customHeight="false" outlineLevel="0" collapsed="false">
      <c r="A735" s="11"/>
      <c r="B735" s="6"/>
      <c r="C735" s="11"/>
      <c r="D735" s="11"/>
      <c r="E735" s="8" t="str">
        <f aca="false">IF($A735="","",SUMIFS($C:$C,$A:$A,$H735,$B:$B,"&gt;="&amp;INT($B735),$B:$B,"&lt;"&amp;(INT($B735)+1)))</f>
        <v/>
      </c>
      <c r="F735" s="19" t="str">
        <f aca="false">IF($A735="","",IF(ISNA(MATCH($H735,Buffers!$AE:$AE,0)),"Not on Buffers",IF(NOT(ISNUMBER($B735)),"Needs a date",IF(INT($B735)&lt;PlanDate,"Past due",IF(INT($B735)=PlanDate,"Due today",IF(AND(INDEX(Buffers!$L:$L,MATCH($H735,Buffers!$AE:$AE,0))="Planned",$E735&gt;0,INT($B735)&lt;=PlanDate+ROUNDUP(IF(ISNUMBER(SpikeHorizon),SpikeHorizon,INDEX(Buffers!$D:$D,MATCH($H735,Buffers!$AE:$AE,0))),0),$E735&gt;=SpikePct*INDEX(Buffers!$P:$P,MATCH($H735,Buffers!$AE:$AE,0))),"Spike","Not qualified"))))))</f>
        <v/>
      </c>
      <c r="G735" s="8" t="str">
        <f aca="false">IF($A735="","",IF(OR($F735="Past due",$F735="Due today",$F735="Spike"),$C735,0))</f>
        <v/>
      </c>
      <c r="H735" s="8" t="str">
        <f aca="false">IF($A735="","",SUBSTITUTE(SUBSTITUTE(SUBSTITUTE($A735&amp;"","~","~~"),"*","~*"),"?","~?"))</f>
        <v/>
      </c>
    </row>
    <row r="736" customFormat="false" ht="15" hidden="false" customHeight="false" outlineLevel="0" collapsed="false">
      <c r="A736" s="11"/>
      <c r="B736" s="6"/>
      <c r="C736" s="11"/>
      <c r="D736" s="11"/>
      <c r="E736" s="8" t="str">
        <f aca="false">IF($A736="","",SUMIFS($C:$C,$A:$A,$H736,$B:$B,"&gt;="&amp;INT($B736),$B:$B,"&lt;"&amp;(INT($B736)+1)))</f>
        <v/>
      </c>
      <c r="F736" s="19" t="str">
        <f aca="false">IF($A736="","",IF(ISNA(MATCH($H736,Buffers!$AE:$AE,0)),"Not on Buffers",IF(NOT(ISNUMBER($B736)),"Needs a date",IF(INT($B736)&lt;PlanDate,"Past due",IF(INT($B736)=PlanDate,"Due today",IF(AND(INDEX(Buffers!$L:$L,MATCH($H736,Buffers!$AE:$AE,0))="Planned",$E736&gt;0,INT($B736)&lt;=PlanDate+ROUNDUP(IF(ISNUMBER(SpikeHorizon),SpikeHorizon,INDEX(Buffers!$D:$D,MATCH($H736,Buffers!$AE:$AE,0))),0),$E736&gt;=SpikePct*INDEX(Buffers!$P:$P,MATCH($H736,Buffers!$AE:$AE,0))),"Spike","Not qualified"))))))</f>
        <v/>
      </c>
      <c r="G736" s="8" t="str">
        <f aca="false">IF($A736="","",IF(OR($F736="Past due",$F736="Due today",$F736="Spike"),$C736,0))</f>
        <v/>
      </c>
      <c r="H736" s="8" t="str">
        <f aca="false">IF($A736="","",SUBSTITUTE(SUBSTITUTE(SUBSTITUTE($A736&amp;"","~","~~"),"*","~*"),"?","~?"))</f>
        <v/>
      </c>
    </row>
    <row r="737" customFormat="false" ht="15" hidden="false" customHeight="false" outlineLevel="0" collapsed="false">
      <c r="A737" s="11"/>
      <c r="B737" s="6"/>
      <c r="C737" s="11"/>
      <c r="D737" s="11"/>
      <c r="E737" s="8" t="str">
        <f aca="false">IF($A737="","",SUMIFS($C:$C,$A:$A,$H737,$B:$B,"&gt;="&amp;INT($B737),$B:$B,"&lt;"&amp;(INT($B737)+1)))</f>
        <v/>
      </c>
      <c r="F737" s="19" t="str">
        <f aca="false">IF($A737="","",IF(ISNA(MATCH($H737,Buffers!$AE:$AE,0)),"Not on Buffers",IF(NOT(ISNUMBER($B737)),"Needs a date",IF(INT($B737)&lt;PlanDate,"Past due",IF(INT($B737)=PlanDate,"Due today",IF(AND(INDEX(Buffers!$L:$L,MATCH($H737,Buffers!$AE:$AE,0))="Planned",$E737&gt;0,INT($B737)&lt;=PlanDate+ROUNDUP(IF(ISNUMBER(SpikeHorizon),SpikeHorizon,INDEX(Buffers!$D:$D,MATCH($H737,Buffers!$AE:$AE,0))),0),$E737&gt;=SpikePct*INDEX(Buffers!$P:$P,MATCH($H737,Buffers!$AE:$AE,0))),"Spike","Not qualified"))))))</f>
        <v/>
      </c>
      <c r="G737" s="8" t="str">
        <f aca="false">IF($A737="","",IF(OR($F737="Past due",$F737="Due today",$F737="Spike"),$C737,0))</f>
        <v/>
      </c>
      <c r="H737" s="8" t="str">
        <f aca="false">IF($A737="","",SUBSTITUTE(SUBSTITUTE(SUBSTITUTE($A737&amp;"","~","~~"),"*","~*"),"?","~?"))</f>
        <v/>
      </c>
    </row>
    <row r="738" customFormat="false" ht="15" hidden="false" customHeight="false" outlineLevel="0" collapsed="false">
      <c r="A738" s="11"/>
      <c r="B738" s="6"/>
      <c r="C738" s="11"/>
      <c r="D738" s="11"/>
      <c r="E738" s="8" t="str">
        <f aca="false">IF($A738="","",SUMIFS($C:$C,$A:$A,$H738,$B:$B,"&gt;="&amp;INT($B738),$B:$B,"&lt;"&amp;(INT($B738)+1)))</f>
        <v/>
      </c>
      <c r="F738" s="19" t="str">
        <f aca="false">IF($A738="","",IF(ISNA(MATCH($H738,Buffers!$AE:$AE,0)),"Not on Buffers",IF(NOT(ISNUMBER($B738)),"Needs a date",IF(INT($B738)&lt;PlanDate,"Past due",IF(INT($B738)=PlanDate,"Due today",IF(AND(INDEX(Buffers!$L:$L,MATCH($H738,Buffers!$AE:$AE,0))="Planned",$E738&gt;0,INT($B738)&lt;=PlanDate+ROUNDUP(IF(ISNUMBER(SpikeHorizon),SpikeHorizon,INDEX(Buffers!$D:$D,MATCH($H738,Buffers!$AE:$AE,0))),0),$E738&gt;=SpikePct*INDEX(Buffers!$P:$P,MATCH($H738,Buffers!$AE:$AE,0))),"Spike","Not qualified"))))))</f>
        <v/>
      </c>
      <c r="G738" s="8" t="str">
        <f aca="false">IF($A738="","",IF(OR($F738="Past due",$F738="Due today",$F738="Spike"),$C738,0))</f>
        <v/>
      </c>
      <c r="H738" s="8" t="str">
        <f aca="false">IF($A738="","",SUBSTITUTE(SUBSTITUTE(SUBSTITUTE($A738&amp;"","~","~~"),"*","~*"),"?","~?"))</f>
        <v/>
      </c>
    </row>
    <row r="739" customFormat="false" ht="15" hidden="false" customHeight="false" outlineLevel="0" collapsed="false">
      <c r="A739" s="11"/>
      <c r="B739" s="6"/>
      <c r="C739" s="11"/>
      <c r="D739" s="11"/>
      <c r="E739" s="8" t="str">
        <f aca="false">IF($A739="","",SUMIFS($C:$C,$A:$A,$H739,$B:$B,"&gt;="&amp;INT($B739),$B:$B,"&lt;"&amp;(INT($B739)+1)))</f>
        <v/>
      </c>
      <c r="F739" s="19" t="str">
        <f aca="false">IF($A739="","",IF(ISNA(MATCH($H739,Buffers!$AE:$AE,0)),"Not on Buffers",IF(NOT(ISNUMBER($B739)),"Needs a date",IF(INT($B739)&lt;PlanDate,"Past due",IF(INT($B739)=PlanDate,"Due today",IF(AND(INDEX(Buffers!$L:$L,MATCH($H739,Buffers!$AE:$AE,0))="Planned",$E739&gt;0,INT($B739)&lt;=PlanDate+ROUNDUP(IF(ISNUMBER(SpikeHorizon),SpikeHorizon,INDEX(Buffers!$D:$D,MATCH($H739,Buffers!$AE:$AE,0))),0),$E739&gt;=SpikePct*INDEX(Buffers!$P:$P,MATCH($H739,Buffers!$AE:$AE,0))),"Spike","Not qualified"))))))</f>
        <v/>
      </c>
      <c r="G739" s="8" t="str">
        <f aca="false">IF($A739="","",IF(OR($F739="Past due",$F739="Due today",$F739="Spike"),$C739,0))</f>
        <v/>
      </c>
      <c r="H739" s="8" t="str">
        <f aca="false">IF($A739="","",SUBSTITUTE(SUBSTITUTE(SUBSTITUTE($A739&amp;"","~","~~"),"*","~*"),"?","~?"))</f>
        <v/>
      </c>
    </row>
    <row r="740" customFormat="false" ht="15" hidden="false" customHeight="false" outlineLevel="0" collapsed="false">
      <c r="A740" s="11"/>
      <c r="B740" s="6"/>
      <c r="C740" s="11"/>
      <c r="D740" s="11"/>
      <c r="E740" s="8" t="str">
        <f aca="false">IF($A740="","",SUMIFS($C:$C,$A:$A,$H740,$B:$B,"&gt;="&amp;INT($B740),$B:$B,"&lt;"&amp;(INT($B740)+1)))</f>
        <v/>
      </c>
      <c r="F740" s="19" t="str">
        <f aca="false">IF($A740="","",IF(ISNA(MATCH($H740,Buffers!$AE:$AE,0)),"Not on Buffers",IF(NOT(ISNUMBER($B740)),"Needs a date",IF(INT($B740)&lt;PlanDate,"Past due",IF(INT($B740)=PlanDate,"Due today",IF(AND(INDEX(Buffers!$L:$L,MATCH($H740,Buffers!$AE:$AE,0))="Planned",$E740&gt;0,INT($B740)&lt;=PlanDate+ROUNDUP(IF(ISNUMBER(SpikeHorizon),SpikeHorizon,INDEX(Buffers!$D:$D,MATCH($H740,Buffers!$AE:$AE,0))),0),$E740&gt;=SpikePct*INDEX(Buffers!$P:$P,MATCH($H740,Buffers!$AE:$AE,0))),"Spike","Not qualified"))))))</f>
        <v/>
      </c>
      <c r="G740" s="8" t="str">
        <f aca="false">IF($A740="","",IF(OR($F740="Past due",$F740="Due today",$F740="Spike"),$C740,0))</f>
        <v/>
      </c>
      <c r="H740" s="8" t="str">
        <f aca="false">IF($A740="","",SUBSTITUTE(SUBSTITUTE(SUBSTITUTE($A740&amp;"","~","~~"),"*","~*"),"?","~?"))</f>
        <v/>
      </c>
    </row>
    <row r="741" customFormat="false" ht="15" hidden="false" customHeight="false" outlineLevel="0" collapsed="false">
      <c r="A741" s="11"/>
      <c r="B741" s="6"/>
      <c r="C741" s="11"/>
      <c r="D741" s="11"/>
      <c r="E741" s="8" t="str">
        <f aca="false">IF($A741="","",SUMIFS($C:$C,$A:$A,$H741,$B:$B,"&gt;="&amp;INT($B741),$B:$B,"&lt;"&amp;(INT($B741)+1)))</f>
        <v/>
      </c>
      <c r="F741" s="19" t="str">
        <f aca="false">IF($A741="","",IF(ISNA(MATCH($H741,Buffers!$AE:$AE,0)),"Not on Buffers",IF(NOT(ISNUMBER($B741)),"Needs a date",IF(INT($B741)&lt;PlanDate,"Past due",IF(INT($B741)=PlanDate,"Due today",IF(AND(INDEX(Buffers!$L:$L,MATCH($H741,Buffers!$AE:$AE,0))="Planned",$E741&gt;0,INT($B741)&lt;=PlanDate+ROUNDUP(IF(ISNUMBER(SpikeHorizon),SpikeHorizon,INDEX(Buffers!$D:$D,MATCH($H741,Buffers!$AE:$AE,0))),0),$E741&gt;=SpikePct*INDEX(Buffers!$P:$P,MATCH($H741,Buffers!$AE:$AE,0))),"Spike","Not qualified"))))))</f>
        <v/>
      </c>
      <c r="G741" s="8" t="str">
        <f aca="false">IF($A741="","",IF(OR($F741="Past due",$F741="Due today",$F741="Spike"),$C741,0))</f>
        <v/>
      </c>
      <c r="H741" s="8" t="str">
        <f aca="false">IF($A741="","",SUBSTITUTE(SUBSTITUTE(SUBSTITUTE($A741&amp;"","~","~~"),"*","~*"),"?","~?"))</f>
        <v/>
      </c>
    </row>
    <row r="742" customFormat="false" ht="15" hidden="false" customHeight="false" outlineLevel="0" collapsed="false">
      <c r="A742" s="11"/>
      <c r="B742" s="6"/>
      <c r="C742" s="11"/>
      <c r="D742" s="11"/>
      <c r="E742" s="8" t="str">
        <f aca="false">IF($A742="","",SUMIFS($C:$C,$A:$A,$H742,$B:$B,"&gt;="&amp;INT($B742),$B:$B,"&lt;"&amp;(INT($B742)+1)))</f>
        <v/>
      </c>
      <c r="F742" s="19" t="str">
        <f aca="false">IF($A742="","",IF(ISNA(MATCH($H742,Buffers!$AE:$AE,0)),"Not on Buffers",IF(NOT(ISNUMBER($B742)),"Needs a date",IF(INT($B742)&lt;PlanDate,"Past due",IF(INT($B742)=PlanDate,"Due today",IF(AND(INDEX(Buffers!$L:$L,MATCH($H742,Buffers!$AE:$AE,0))="Planned",$E742&gt;0,INT($B742)&lt;=PlanDate+ROUNDUP(IF(ISNUMBER(SpikeHorizon),SpikeHorizon,INDEX(Buffers!$D:$D,MATCH($H742,Buffers!$AE:$AE,0))),0),$E742&gt;=SpikePct*INDEX(Buffers!$P:$P,MATCH($H742,Buffers!$AE:$AE,0))),"Spike","Not qualified"))))))</f>
        <v/>
      </c>
      <c r="G742" s="8" t="str">
        <f aca="false">IF($A742="","",IF(OR($F742="Past due",$F742="Due today",$F742="Spike"),$C742,0))</f>
        <v/>
      </c>
      <c r="H742" s="8" t="str">
        <f aca="false">IF($A742="","",SUBSTITUTE(SUBSTITUTE(SUBSTITUTE($A742&amp;"","~","~~"),"*","~*"),"?","~?"))</f>
        <v/>
      </c>
    </row>
    <row r="743" customFormat="false" ht="15" hidden="false" customHeight="false" outlineLevel="0" collapsed="false">
      <c r="A743" s="11"/>
      <c r="B743" s="6"/>
      <c r="C743" s="11"/>
      <c r="D743" s="11"/>
      <c r="E743" s="8" t="str">
        <f aca="false">IF($A743="","",SUMIFS($C:$C,$A:$A,$H743,$B:$B,"&gt;="&amp;INT($B743),$B:$B,"&lt;"&amp;(INT($B743)+1)))</f>
        <v/>
      </c>
      <c r="F743" s="19" t="str">
        <f aca="false">IF($A743="","",IF(ISNA(MATCH($H743,Buffers!$AE:$AE,0)),"Not on Buffers",IF(NOT(ISNUMBER($B743)),"Needs a date",IF(INT($B743)&lt;PlanDate,"Past due",IF(INT($B743)=PlanDate,"Due today",IF(AND(INDEX(Buffers!$L:$L,MATCH($H743,Buffers!$AE:$AE,0))="Planned",$E743&gt;0,INT($B743)&lt;=PlanDate+ROUNDUP(IF(ISNUMBER(SpikeHorizon),SpikeHorizon,INDEX(Buffers!$D:$D,MATCH($H743,Buffers!$AE:$AE,0))),0),$E743&gt;=SpikePct*INDEX(Buffers!$P:$P,MATCH($H743,Buffers!$AE:$AE,0))),"Spike","Not qualified"))))))</f>
        <v/>
      </c>
      <c r="G743" s="8" t="str">
        <f aca="false">IF($A743="","",IF(OR($F743="Past due",$F743="Due today",$F743="Spike"),$C743,0))</f>
        <v/>
      </c>
      <c r="H743" s="8" t="str">
        <f aca="false">IF($A743="","",SUBSTITUTE(SUBSTITUTE(SUBSTITUTE($A743&amp;"","~","~~"),"*","~*"),"?","~?"))</f>
        <v/>
      </c>
    </row>
    <row r="744" customFormat="false" ht="15" hidden="false" customHeight="false" outlineLevel="0" collapsed="false">
      <c r="A744" s="11"/>
      <c r="B744" s="6"/>
      <c r="C744" s="11"/>
      <c r="D744" s="11"/>
      <c r="E744" s="8" t="str">
        <f aca="false">IF($A744="","",SUMIFS($C:$C,$A:$A,$H744,$B:$B,"&gt;="&amp;INT($B744),$B:$B,"&lt;"&amp;(INT($B744)+1)))</f>
        <v/>
      </c>
      <c r="F744" s="19" t="str">
        <f aca="false">IF($A744="","",IF(ISNA(MATCH($H744,Buffers!$AE:$AE,0)),"Not on Buffers",IF(NOT(ISNUMBER($B744)),"Needs a date",IF(INT($B744)&lt;PlanDate,"Past due",IF(INT($B744)=PlanDate,"Due today",IF(AND(INDEX(Buffers!$L:$L,MATCH($H744,Buffers!$AE:$AE,0))="Planned",$E744&gt;0,INT($B744)&lt;=PlanDate+ROUNDUP(IF(ISNUMBER(SpikeHorizon),SpikeHorizon,INDEX(Buffers!$D:$D,MATCH($H744,Buffers!$AE:$AE,0))),0),$E744&gt;=SpikePct*INDEX(Buffers!$P:$P,MATCH($H744,Buffers!$AE:$AE,0))),"Spike","Not qualified"))))))</f>
        <v/>
      </c>
      <c r="G744" s="8" t="str">
        <f aca="false">IF($A744="","",IF(OR($F744="Past due",$F744="Due today",$F744="Spike"),$C744,0))</f>
        <v/>
      </c>
      <c r="H744" s="8" t="str">
        <f aca="false">IF($A744="","",SUBSTITUTE(SUBSTITUTE(SUBSTITUTE($A744&amp;"","~","~~"),"*","~*"),"?","~?"))</f>
        <v/>
      </c>
    </row>
    <row r="745" customFormat="false" ht="15" hidden="false" customHeight="false" outlineLevel="0" collapsed="false">
      <c r="A745" s="11"/>
      <c r="B745" s="6"/>
      <c r="C745" s="11"/>
      <c r="D745" s="11"/>
      <c r="E745" s="8" t="str">
        <f aca="false">IF($A745="","",SUMIFS($C:$C,$A:$A,$H745,$B:$B,"&gt;="&amp;INT($B745),$B:$B,"&lt;"&amp;(INT($B745)+1)))</f>
        <v/>
      </c>
      <c r="F745" s="19" t="str">
        <f aca="false">IF($A745="","",IF(ISNA(MATCH($H745,Buffers!$AE:$AE,0)),"Not on Buffers",IF(NOT(ISNUMBER($B745)),"Needs a date",IF(INT($B745)&lt;PlanDate,"Past due",IF(INT($B745)=PlanDate,"Due today",IF(AND(INDEX(Buffers!$L:$L,MATCH($H745,Buffers!$AE:$AE,0))="Planned",$E745&gt;0,INT($B745)&lt;=PlanDate+ROUNDUP(IF(ISNUMBER(SpikeHorizon),SpikeHorizon,INDEX(Buffers!$D:$D,MATCH($H745,Buffers!$AE:$AE,0))),0),$E745&gt;=SpikePct*INDEX(Buffers!$P:$P,MATCH($H745,Buffers!$AE:$AE,0))),"Spike","Not qualified"))))))</f>
        <v/>
      </c>
      <c r="G745" s="8" t="str">
        <f aca="false">IF($A745="","",IF(OR($F745="Past due",$F745="Due today",$F745="Spike"),$C745,0))</f>
        <v/>
      </c>
      <c r="H745" s="8" t="str">
        <f aca="false">IF($A745="","",SUBSTITUTE(SUBSTITUTE(SUBSTITUTE($A745&amp;"","~","~~"),"*","~*"),"?","~?"))</f>
        <v/>
      </c>
    </row>
    <row r="746" customFormat="false" ht="15" hidden="false" customHeight="false" outlineLevel="0" collapsed="false">
      <c r="A746" s="11"/>
      <c r="B746" s="6"/>
      <c r="C746" s="11"/>
      <c r="D746" s="11"/>
      <c r="E746" s="8" t="str">
        <f aca="false">IF($A746="","",SUMIFS($C:$C,$A:$A,$H746,$B:$B,"&gt;="&amp;INT($B746),$B:$B,"&lt;"&amp;(INT($B746)+1)))</f>
        <v/>
      </c>
      <c r="F746" s="19" t="str">
        <f aca="false">IF($A746="","",IF(ISNA(MATCH($H746,Buffers!$AE:$AE,0)),"Not on Buffers",IF(NOT(ISNUMBER($B746)),"Needs a date",IF(INT($B746)&lt;PlanDate,"Past due",IF(INT($B746)=PlanDate,"Due today",IF(AND(INDEX(Buffers!$L:$L,MATCH($H746,Buffers!$AE:$AE,0))="Planned",$E746&gt;0,INT($B746)&lt;=PlanDate+ROUNDUP(IF(ISNUMBER(SpikeHorizon),SpikeHorizon,INDEX(Buffers!$D:$D,MATCH($H746,Buffers!$AE:$AE,0))),0),$E746&gt;=SpikePct*INDEX(Buffers!$P:$P,MATCH($H746,Buffers!$AE:$AE,0))),"Spike","Not qualified"))))))</f>
        <v/>
      </c>
      <c r="G746" s="8" t="str">
        <f aca="false">IF($A746="","",IF(OR($F746="Past due",$F746="Due today",$F746="Spike"),$C746,0))</f>
        <v/>
      </c>
      <c r="H746" s="8" t="str">
        <f aca="false">IF($A746="","",SUBSTITUTE(SUBSTITUTE(SUBSTITUTE($A746&amp;"","~","~~"),"*","~*"),"?","~?"))</f>
        <v/>
      </c>
    </row>
    <row r="747" customFormat="false" ht="15" hidden="false" customHeight="false" outlineLevel="0" collapsed="false">
      <c r="A747" s="11"/>
      <c r="B747" s="6"/>
      <c r="C747" s="11"/>
      <c r="D747" s="11"/>
      <c r="E747" s="8" t="str">
        <f aca="false">IF($A747="","",SUMIFS($C:$C,$A:$A,$H747,$B:$B,"&gt;="&amp;INT($B747),$B:$B,"&lt;"&amp;(INT($B747)+1)))</f>
        <v/>
      </c>
      <c r="F747" s="19" t="str">
        <f aca="false">IF($A747="","",IF(ISNA(MATCH($H747,Buffers!$AE:$AE,0)),"Not on Buffers",IF(NOT(ISNUMBER($B747)),"Needs a date",IF(INT($B747)&lt;PlanDate,"Past due",IF(INT($B747)=PlanDate,"Due today",IF(AND(INDEX(Buffers!$L:$L,MATCH($H747,Buffers!$AE:$AE,0))="Planned",$E747&gt;0,INT($B747)&lt;=PlanDate+ROUNDUP(IF(ISNUMBER(SpikeHorizon),SpikeHorizon,INDEX(Buffers!$D:$D,MATCH($H747,Buffers!$AE:$AE,0))),0),$E747&gt;=SpikePct*INDEX(Buffers!$P:$P,MATCH($H747,Buffers!$AE:$AE,0))),"Spike","Not qualified"))))))</f>
        <v/>
      </c>
      <c r="G747" s="8" t="str">
        <f aca="false">IF($A747="","",IF(OR($F747="Past due",$F747="Due today",$F747="Spike"),$C747,0))</f>
        <v/>
      </c>
      <c r="H747" s="8" t="str">
        <f aca="false">IF($A747="","",SUBSTITUTE(SUBSTITUTE(SUBSTITUTE($A747&amp;"","~","~~"),"*","~*"),"?","~?"))</f>
        <v/>
      </c>
    </row>
    <row r="748" customFormat="false" ht="15" hidden="false" customHeight="false" outlineLevel="0" collapsed="false">
      <c r="A748" s="11"/>
      <c r="B748" s="6"/>
      <c r="C748" s="11"/>
      <c r="D748" s="11"/>
      <c r="E748" s="8" t="str">
        <f aca="false">IF($A748="","",SUMIFS($C:$C,$A:$A,$H748,$B:$B,"&gt;="&amp;INT($B748),$B:$B,"&lt;"&amp;(INT($B748)+1)))</f>
        <v/>
      </c>
      <c r="F748" s="19" t="str">
        <f aca="false">IF($A748="","",IF(ISNA(MATCH($H748,Buffers!$AE:$AE,0)),"Not on Buffers",IF(NOT(ISNUMBER($B748)),"Needs a date",IF(INT($B748)&lt;PlanDate,"Past due",IF(INT($B748)=PlanDate,"Due today",IF(AND(INDEX(Buffers!$L:$L,MATCH($H748,Buffers!$AE:$AE,0))="Planned",$E748&gt;0,INT($B748)&lt;=PlanDate+ROUNDUP(IF(ISNUMBER(SpikeHorizon),SpikeHorizon,INDEX(Buffers!$D:$D,MATCH($H748,Buffers!$AE:$AE,0))),0),$E748&gt;=SpikePct*INDEX(Buffers!$P:$P,MATCH($H748,Buffers!$AE:$AE,0))),"Spike","Not qualified"))))))</f>
        <v/>
      </c>
      <c r="G748" s="8" t="str">
        <f aca="false">IF($A748="","",IF(OR($F748="Past due",$F748="Due today",$F748="Spike"),$C748,0))</f>
        <v/>
      </c>
      <c r="H748" s="8" t="str">
        <f aca="false">IF($A748="","",SUBSTITUTE(SUBSTITUTE(SUBSTITUTE($A748&amp;"","~","~~"),"*","~*"),"?","~?"))</f>
        <v/>
      </c>
    </row>
    <row r="749" customFormat="false" ht="15" hidden="false" customHeight="false" outlineLevel="0" collapsed="false">
      <c r="A749" s="11"/>
      <c r="B749" s="6"/>
      <c r="C749" s="11"/>
      <c r="D749" s="11"/>
      <c r="E749" s="8" t="str">
        <f aca="false">IF($A749="","",SUMIFS($C:$C,$A:$A,$H749,$B:$B,"&gt;="&amp;INT($B749),$B:$B,"&lt;"&amp;(INT($B749)+1)))</f>
        <v/>
      </c>
      <c r="F749" s="19" t="str">
        <f aca="false">IF($A749="","",IF(ISNA(MATCH($H749,Buffers!$AE:$AE,0)),"Not on Buffers",IF(NOT(ISNUMBER($B749)),"Needs a date",IF(INT($B749)&lt;PlanDate,"Past due",IF(INT($B749)=PlanDate,"Due today",IF(AND(INDEX(Buffers!$L:$L,MATCH($H749,Buffers!$AE:$AE,0))="Planned",$E749&gt;0,INT($B749)&lt;=PlanDate+ROUNDUP(IF(ISNUMBER(SpikeHorizon),SpikeHorizon,INDEX(Buffers!$D:$D,MATCH($H749,Buffers!$AE:$AE,0))),0),$E749&gt;=SpikePct*INDEX(Buffers!$P:$P,MATCH($H749,Buffers!$AE:$AE,0))),"Spike","Not qualified"))))))</f>
        <v/>
      </c>
      <c r="G749" s="8" t="str">
        <f aca="false">IF($A749="","",IF(OR($F749="Past due",$F749="Due today",$F749="Spike"),$C749,0))</f>
        <v/>
      </c>
      <c r="H749" s="8" t="str">
        <f aca="false">IF($A749="","",SUBSTITUTE(SUBSTITUTE(SUBSTITUTE($A749&amp;"","~","~~"),"*","~*"),"?","~?"))</f>
        <v/>
      </c>
    </row>
    <row r="750" customFormat="false" ht="15" hidden="false" customHeight="false" outlineLevel="0" collapsed="false">
      <c r="A750" s="11"/>
      <c r="B750" s="6"/>
      <c r="C750" s="11"/>
      <c r="D750" s="11"/>
      <c r="E750" s="8" t="str">
        <f aca="false">IF($A750="","",SUMIFS($C:$C,$A:$A,$H750,$B:$B,"&gt;="&amp;INT($B750),$B:$B,"&lt;"&amp;(INT($B750)+1)))</f>
        <v/>
      </c>
      <c r="F750" s="19" t="str">
        <f aca="false">IF($A750="","",IF(ISNA(MATCH($H750,Buffers!$AE:$AE,0)),"Not on Buffers",IF(NOT(ISNUMBER($B750)),"Needs a date",IF(INT($B750)&lt;PlanDate,"Past due",IF(INT($B750)=PlanDate,"Due today",IF(AND(INDEX(Buffers!$L:$L,MATCH($H750,Buffers!$AE:$AE,0))="Planned",$E750&gt;0,INT($B750)&lt;=PlanDate+ROUNDUP(IF(ISNUMBER(SpikeHorizon),SpikeHorizon,INDEX(Buffers!$D:$D,MATCH($H750,Buffers!$AE:$AE,0))),0),$E750&gt;=SpikePct*INDEX(Buffers!$P:$P,MATCH($H750,Buffers!$AE:$AE,0))),"Spike","Not qualified"))))))</f>
        <v/>
      </c>
      <c r="G750" s="8" t="str">
        <f aca="false">IF($A750="","",IF(OR($F750="Past due",$F750="Due today",$F750="Spike"),$C750,0))</f>
        <v/>
      </c>
      <c r="H750" s="8" t="str">
        <f aca="false">IF($A750="","",SUBSTITUTE(SUBSTITUTE(SUBSTITUTE($A750&amp;"","~","~~"),"*","~*"),"?","~?"))</f>
        <v/>
      </c>
    </row>
    <row r="751" customFormat="false" ht="15" hidden="false" customHeight="false" outlineLevel="0" collapsed="false">
      <c r="A751" s="11"/>
      <c r="B751" s="6"/>
      <c r="C751" s="11"/>
      <c r="D751" s="11"/>
      <c r="E751" s="8" t="str">
        <f aca="false">IF($A751="","",SUMIFS($C:$C,$A:$A,$H751,$B:$B,"&gt;="&amp;INT($B751),$B:$B,"&lt;"&amp;(INT($B751)+1)))</f>
        <v/>
      </c>
      <c r="F751" s="19" t="str">
        <f aca="false">IF($A751="","",IF(ISNA(MATCH($H751,Buffers!$AE:$AE,0)),"Not on Buffers",IF(NOT(ISNUMBER($B751)),"Needs a date",IF(INT($B751)&lt;PlanDate,"Past due",IF(INT($B751)=PlanDate,"Due today",IF(AND(INDEX(Buffers!$L:$L,MATCH($H751,Buffers!$AE:$AE,0))="Planned",$E751&gt;0,INT($B751)&lt;=PlanDate+ROUNDUP(IF(ISNUMBER(SpikeHorizon),SpikeHorizon,INDEX(Buffers!$D:$D,MATCH($H751,Buffers!$AE:$AE,0))),0),$E751&gt;=SpikePct*INDEX(Buffers!$P:$P,MATCH($H751,Buffers!$AE:$AE,0))),"Spike","Not qualified"))))))</f>
        <v/>
      </c>
      <c r="G751" s="8" t="str">
        <f aca="false">IF($A751="","",IF(OR($F751="Past due",$F751="Due today",$F751="Spike"),$C751,0))</f>
        <v/>
      </c>
      <c r="H751" s="8" t="str">
        <f aca="false">IF($A751="","",SUBSTITUTE(SUBSTITUTE(SUBSTITUTE($A751&amp;"","~","~~"),"*","~*"),"?","~?"))</f>
        <v/>
      </c>
    </row>
    <row r="752" customFormat="false" ht="15" hidden="false" customHeight="false" outlineLevel="0" collapsed="false">
      <c r="A752" s="11"/>
      <c r="B752" s="6"/>
      <c r="C752" s="11"/>
      <c r="D752" s="11"/>
      <c r="E752" s="8" t="str">
        <f aca="false">IF($A752="","",SUMIFS($C:$C,$A:$A,$H752,$B:$B,"&gt;="&amp;INT($B752),$B:$B,"&lt;"&amp;(INT($B752)+1)))</f>
        <v/>
      </c>
      <c r="F752" s="19" t="str">
        <f aca="false">IF($A752="","",IF(ISNA(MATCH($H752,Buffers!$AE:$AE,0)),"Not on Buffers",IF(NOT(ISNUMBER($B752)),"Needs a date",IF(INT($B752)&lt;PlanDate,"Past due",IF(INT($B752)=PlanDate,"Due today",IF(AND(INDEX(Buffers!$L:$L,MATCH($H752,Buffers!$AE:$AE,0))="Planned",$E752&gt;0,INT($B752)&lt;=PlanDate+ROUNDUP(IF(ISNUMBER(SpikeHorizon),SpikeHorizon,INDEX(Buffers!$D:$D,MATCH($H752,Buffers!$AE:$AE,0))),0),$E752&gt;=SpikePct*INDEX(Buffers!$P:$P,MATCH($H752,Buffers!$AE:$AE,0))),"Spike","Not qualified"))))))</f>
        <v/>
      </c>
      <c r="G752" s="8" t="str">
        <f aca="false">IF($A752="","",IF(OR($F752="Past due",$F752="Due today",$F752="Spike"),$C752,0))</f>
        <v/>
      </c>
      <c r="H752" s="8" t="str">
        <f aca="false">IF($A752="","",SUBSTITUTE(SUBSTITUTE(SUBSTITUTE($A752&amp;"","~","~~"),"*","~*"),"?","~?"))</f>
        <v/>
      </c>
    </row>
    <row r="753" customFormat="false" ht="15" hidden="false" customHeight="false" outlineLevel="0" collapsed="false">
      <c r="A753" s="11"/>
      <c r="B753" s="6"/>
      <c r="C753" s="11"/>
      <c r="D753" s="11"/>
      <c r="E753" s="8" t="str">
        <f aca="false">IF($A753="","",SUMIFS($C:$C,$A:$A,$H753,$B:$B,"&gt;="&amp;INT($B753),$B:$B,"&lt;"&amp;(INT($B753)+1)))</f>
        <v/>
      </c>
      <c r="F753" s="19" t="str">
        <f aca="false">IF($A753="","",IF(ISNA(MATCH($H753,Buffers!$AE:$AE,0)),"Not on Buffers",IF(NOT(ISNUMBER($B753)),"Needs a date",IF(INT($B753)&lt;PlanDate,"Past due",IF(INT($B753)=PlanDate,"Due today",IF(AND(INDEX(Buffers!$L:$L,MATCH($H753,Buffers!$AE:$AE,0))="Planned",$E753&gt;0,INT($B753)&lt;=PlanDate+ROUNDUP(IF(ISNUMBER(SpikeHorizon),SpikeHorizon,INDEX(Buffers!$D:$D,MATCH($H753,Buffers!$AE:$AE,0))),0),$E753&gt;=SpikePct*INDEX(Buffers!$P:$P,MATCH($H753,Buffers!$AE:$AE,0))),"Spike","Not qualified"))))))</f>
        <v/>
      </c>
      <c r="G753" s="8" t="str">
        <f aca="false">IF($A753="","",IF(OR($F753="Past due",$F753="Due today",$F753="Spike"),$C753,0))</f>
        <v/>
      </c>
      <c r="H753" s="8" t="str">
        <f aca="false">IF($A753="","",SUBSTITUTE(SUBSTITUTE(SUBSTITUTE($A753&amp;"","~","~~"),"*","~*"),"?","~?"))</f>
        <v/>
      </c>
    </row>
    <row r="754" customFormat="false" ht="15" hidden="false" customHeight="false" outlineLevel="0" collapsed="false">
      <c r="A754" s="11"/>
      <c r="B754" s="6"/>
      <c r="C754" s="11"/>
      <c r="D754" s="11"/>
      <c r="E754" s="8" t="str">
        <f aca="false">IF($A754="","",SUMIFS($C:$C,$A:$A,$H754,$B:$B,"&gt;="&amp;INT($B754),$B:$B,"&lt;"&amp;(INT($B754)+1)))</f>
        <v/>
      </c>
      <c r="F754" s="19" t="str">
        <f aca="false">IF($A754="","",IF(ISNA(MATCH($H754,Buffers!$AE:$AE,0)),"Not on Buffers",IF(NOT(ISNUMBER($B754)),"Needs a date",IF(INT($B754)&lt;PlanDate,"Past due",IF(INT($B754)=PlanDate,"Due today",IF(AND(INDEX(Buffers!$L:$L,MATCH($H754,Buffers!$AE:$AE,0))="Planned",$E754&gt;0,INT($B754)&lt;=PlanDate+ROUNDUP(IF(ISNUMBER(SpikeHorizon),SpikeHorizon,INDEX(Buffers!$D:$D,MATCH($H754,Buffers!$AE:$AE,0))),0),$E754&gt;=SpikePct*INDEX(Buffers!$P:$P,MATCH($H754,Buffers!$AE:$AE,0))),"Spike","Not qualified"))))))</f>
        <v/>
      </c>
      <c r="G754" s="8" t="str">
        <f aca="false">IF($A754="","",IF(OR($F754="Past due",$F754="Due today",$F754="Spike"),$C754,0))</f>
        <v/>
      </c>
      <c r="H754" s="8" t="str">
        <f aca="false">IF($A754="","",SUBSTITUTE(SUBSTITUTE(SUBSTITUTE($A754&amp;"","~","~~"),"*","~*"),"?","~?"))</f>
        <v/>
      </c>
    </row>
    <row r="755" customFormat="false" ht="15" hidden="false" customHeight="false" outlineLevel="0" collapsed="false">
      <c r="A755" s="11"/>
      <c r="B755" s="6"/>
      <c r="C755" s="11"/>
      <c r="D755" s="11"/>
      <c r="E755" s="8" t="str">
        <f aca="false">IF($A755="","",SUMIFS($C:$C,$A:$A,$H755,$B:$B,"&gt;="&amp;INT($B755),$B:$B,"&lt;"&amp;(INT($B755)+1)))</f>
        <v/>
      </c>
      <c r="F755" s="19" t="str">
        <f aca="false">IF($A755="","",IF(ISNA(MATCH($H755,Buffers!$AE:$AE,0)),"Not on Buffers",IF(NOT(ISNUMBER($B755)),"Needs a date",IF(INT($B755)&lt;PlanDate,"Past due",IF(INT($B755)=PlanDate,"Due today",IF(AND(INDEX(Buffers!$L:$L,MATCH($H755,Buffers!$AE:$AE,0))="Planned",$E755&gt;0,INT($B755)&lt;=PlanDate+ROUNDUP(IF(ISNUMBER(SpikeHorizon),SpikeHorizon,INDEX(Buffers!$D:$D,MATCH($H755,Buffers!$AE:$AE,0))),0),$E755&gt;=SpikePct*INDEX(Buffers!$P:$P,MATCH($H755,Buffers!$AE:$AE,0))),"Spike","Not qualified"))))))</f>
        <v/>
      </c>
      <c r="G755" s="8" t="str">
        <f aca="false">IF($A755="","",IF(OR($F755="Past due",$F755="Due today",$F755="Spike"),$C755,0))</f>
        <v/>
      </c>
      <c r="H755" s="8" t="str">
        <f aca="false">IF($A755="","",SUBSTITUTE(SUBSTITUTE(SUBSTITUTE($A755&amp;"","~","~~"),"*","~*"),"?","~?"))</f>
        <v/>
      </c>
    </row>
    <row r="756" customFormat="false" ht="15" hidden="false" customHeight="false" outlineLevel="0" collapsed="false">
      <c r="A756" s="11"/>
      <c r="B756" s="6"/>
      <c r="C756" s="11"/>
      <c r="D756" s="11"/>
      <c r="E756" s="8" t="str">
        <f aca="false">IF($A756="","",SUMIFS($C:$C,$A:$A,$H756,$B:$B,"&gt;="&amp;INT($B756),$B:$B,"&lt;"&amp;(INT($B756)+1)))</f>
        <v/>
      </c>
      <c r="F756" s="19" t="str">
        <f aca="false">IF($A756="","",IF(ISNA(MATCH($H756,Buffers!$AE:$AE,0)),"Not on Buffers",IF(NOT(ISNUMBER($B756)),"Needs a date",IF(INT($B756)&lt;PlanDate,"Past due",IF(INT($B756)=PlanDate,"Due today",IF(AND(INDEX(Buffers!$L:$L,MATCH($H756,Buffers!$AE:$AE,0))="Planned",$E756&gt;0,INT($B756)&lt;=PlanDate+ROUNDUP(IF(ISNUMBER(SpikeHorizon),SpikeHorizon,INDEX(Buffers!$D:$D,MATCH($H756,Buffers!$AE:$AE,0))),0),$E756&gt;=SpikePct*INDEX(Buffers!$P:$P,MATCH($H756,Buffers!$AE:$AE,0))),"Spike","Not qualified"))))))</f>
        <v/>
      </c>
      <c r="G756" s="8" t="str">
        <f aca="false">IF($A756="","",IF(OR($F756="Past due",$F756="Due today",$F756="Spike"),$C756,0))</f>
        <v/>
      </c>
      <c r="H756" s="8" t="str">
        <f aca="false">IF($A756="","",SUBSTITUTE(SUBSTITUTE(SUBSTITUTE($A756&amp;"","~","~~"),"*","~*"),"?","~?"))</f>
        <v/>
      </c>
    </row>
    <row r="757" customFormat="false" ht="15" hidden="false" customHeight="false" outlineLevel="0" collapsed="false">
      <c r="A757" s="11"/>
      <c r="B757" s="6"/>
      <c r="C757" s="11"/>
      <c r="D757" s="11"/>
      <c r="E757" s="8" t="str">
        <f aca="false">IF($A757="","",SUMIFS($C:$C,$A:$A,$H757,$B:$B,"&gt;="&amp;INT($B757),$B:$B,"&lt;"&amp;(INT($B757)+1)))</f>
        <v/>
      </c>
      <c r="F757" s="19" t="str">
        <f aca="false">IF($A757="","",IF(ISNA(MATCH($H757,Buffers!$AE:$AE,0)),"Not on Buffers",IF(NOT(ISNUMBER($B757)),"Needs a date",IF(INT($B757)&lt;PlanDate,"Past due",IF(INT($B757)=PlanDate,"Due today",IF(AND(INDEX(Buffers!$L:$L,MATCH($H757,Buffers!$AE:$AE,0))="Planned",$E757&gt;0,INT($B757)&lt;=PlanDate+ROUNDUP(IF(ISNUMBER(SpikeHorizon),SpikeHorizon,INDEX(Buffers!$D:$D,MATCH($H757,Buffers!$AE:$AE,0))),0),$E757&gt;=SpikePct*INDEX(Buffers!$P:$P,MATCH($H757,Buffers!$AE:$AE,0))),"Spike","Not qualified"))))))</f>
        <v/>
      </c>
      <c r="G757" s="8" t="str">
        <f aca="false">IF($A757="","",IF(OR($F757="Past due",$F757="Due today",$F757="Spike"),$C757,0))</f>
        <v/>
      </c>
      <c r="H757" s="8" t="str">
        <f aca="false">IF($A757="","",SUBSTITUTE(SUBSTITUTE(SUBSTITUTE($A757&amp;"","~","~~"),"*","~*"),"?","~?"))</f>
        <v/>
      </c>
    </row>
    <row r="758" customFormat="false" ht="15" hidden="false" customHeight="false" outlineLevel="0" collapsed="false">
      <c r="A758" s="11"/>
      <c r="B758" s="6"/>
      <c r="C758" s="11"/>
      <c r="D758" s="11"/>
      <c r="E758" s="8" t="str">
        <f aca="false">IF($A758="","",SUMIFS($C:$C,$A:$A,$H758,$B:$B,"&gt;="&amp;INT($B758),$B:$B,"&lt;"&amp;(INT($B758)+1)))</f>
        <v/>
      </c>
      <c r="F758" s="19" t="str">
        <f aca="false">IF($A758="","",IF(ISNA(MATCH($H758,Buffers!$AE:$AE,0)),"Not on Buffers",IF(NOT(ISNUMBER($B758)),"Needs a date",IF(INT($B758)&lt;PlanDate,"Past due",IF(INT($B758)=PlanDate,"Due today",IF(AND(INDEX(Buffers!$L:$L,MATCH($H758,Buffers!$AE:$AE,0))="Planned",$E758&gt;0,INT($B758)&lt;=PlanDate+ROUNDUP(IF(ISNUMBER(SpikeHorizon),SpikeHorizon,INDEX(Buffers!$D:$D,MATCH($H758,Buffers!$AE:$AE,0))),0),$E758&gt;=SpikePct*INDEX(Buffers!$P:$P,MATCH($H758,Buffers!$AE:$AE,0))),"Spike","Not qualified"))))))</f>
        <v/>
      </c>
      <c r="G758" s="8" t="str">
        <f aca="false">IF($A758="","",IF(OR($F758="Past due",$F758="Due today",$F758="Spike"),$C758,0))</f>
        <v/>
      </c>
      <c r="H758" s="8" t="str">
        <f aca="false">IF($A758="","",SUBSTITUTE(SUBSTITUTE(SUBSTITUTE($A758&amp;"","~","~~"),"*","~*"),"?","~?"))</f>
        <v/>
      </c>
    </row>
    <row r="759" customFormat="false" ht="15" hidden="false" customHeight="false" outlineLevel="0" collapsed="false">
      <c r="A759" s="11"/>
      <c r="B759" s="6"/>
      <c r="C759" s="11"/>
      <c r="D759" s="11"/>
      <c r="E759" s="8" t="str">
        <f aca="false">IF($A759="","",SUMIFS($C:$C,$A:$A,$H759,$B:$B,"&gt;="&amp;INT($B759),$B:$B,"&lt;"&amp;(INT($B759)+1)))</f>
        <v/>
      </c>
      <c r="F759" s="19" t="str">
        <f aca="false">IF($A759="","",IF(ISNA(MATCH($H759,Buffers!$AE:$AE,0)),"Not on Buffers",IF(NOT(ISNUMBER($B759)),"Needs a date",IF(INT($B759)&lt;PlanDate,"Past due",IF(INT($B759)=PlanDate,"Due today",IF(AND(INDEX(Buffers!$L:$L,MATCH($H759,Buffers!$AE:$AE,0))="Planned",$E759&gt;0,INT($B759)&lt;=PlanDate+ROUNDUP(IF(ISNUMBER(SpikeHorizon),SpikeHorizon,INDEX(Buffers!$D:$D,MATCH($H759,Buffers!$AE:$AE,0))),0),$E759&gt;=SpikePct*INDEX(Buffers!$P:$P,MATCH($H759,Buffers!$AE:$AE,0))),"Spike","Not qualified"))))))</f>
        <v/>
      </c>
      <c r="G759" s="8" t="str">
        <f aca="false">IF($A759="","",IF(OR($F759="Past due",$F759="Due today",$F759="Spike"),$C759,0))</f>
        <v/>
      </c>
      <c r="H759" s="8" t="str">
        <f aca="false">IF($A759="","",SUBSTITUTE(SUBSTITUTE(SUBSTITUTE($A759&amp;"","~","~~"),"*","~*"),"?","~?"))</f>
        <v/>
      </c>
    </row>
    <row r="760" customFormat="false" ht="15" hidden="false" customHeight="false" outlineLevel="0" collapsed="false">
      <c r="A760" s="11"/>
      <c r="B760" s="6"/>
      <c r="C760" s="11"/>
      <c r="D760" s="11"/>
      <c r="E760" s="8" t="str">
        <f aca="false">IF($A760="","",SUMIFS($C:$C,$A:$A,$H760,$B:$B,"&gt;="&amp;INT($B760),$B:$B,"&lt;"&amp;(INT($B760)+1)))</f>
        <v/>
      </c>
      <c r="F760" s="19" t="str">
        <f aca="false">IF($A760="","",IF(ISNA(MATCH($H760,Buffers!$AE:$AE,0)),"Not on Buffers",IF(NOT(ISNUMBER($B760)),"Needs a date",IF(INT($B760)&lt;PlanDate,"Past due",IF(INT($B760)=PlanDate,"Due today",IF(AND(INDEX(Buffers!$L:$L,MATCH($H760,Buffers!$AE:$AE,0))="Planned",$E760&gt;0,INT($B760)&lt;=PlanDate+ROUNDUP(IF(ISNUMBER(SpikeHorizon),SpikeHorizon,INDEX(Buffers!$D:$D,MATCH($H760,Buffers!$AE:$AE,0))),0),$E760&gt;=SpikePct*INDEX(Buffers!$P:$P,MATCH($H760,Buffers!$AE:$AE,0))),"Spike","Not qualified"))))))</f>
        <v/>
      </c>
      <c r="G760" s="8" t="str">
        <f aca="false">IF($A760="","",IF(OR($F760="Past due",$F760="Due today",$F760="Spike"),$C760,0))</f>
        <v/>
      </c>
      <c r="H760" s="8" t="str">
        <f aca="false">IF($A760="","",SUBSTITUTE(SUBSTITUTE(SUBSTITUTE($A760&amp;"","~","~~"),"*","~*"),"?","~?"))</f>
        <v/>
      </c>
    </row>
    <row r="761" customFormat="false" ht="15" hidden="false" customHeight="false" outlineLevel="0" collapsed="false">
      <c r="A761" s="11"/>
      <c r="B761" s="6"/>
      <c r="C761" s="11"/>
      <c r="D761" s="11"/>
      <c r="E761" s="8" t="str">
        <f aca="false">IF($A761="","",SUMIFS($C:$C,$A:$A,$H761,$B:$B,"&gt;="&amp;INT($B761),$B:$B,"&lt;"&amp;(INT($B761)+1)))</f>
        <v/>
      </c>
      <c r="F761" s="19" t="str">
        <f aca="false">IF($A761="","",IF(ISNA(MATCH($H761,Buffers!$AE:$AE,0)),"Not on Buffers",IF(NOT(ISNUMBER($B761)),"Needs a date",IF(INT($B761)&lt;PlanDate,"Past due",IF(INT($B761)=PlanDate,"Due today",IF(AND(INDEX(Buffers!$L:$L,MATCH($H761,Buffers!$AE:$AE,0))="Planned",$E761&gt;0,INT($B761)&lt;=PlanDate+ROUNDUP(IF(ISNUMBER(SpikeHorizon),SpikeHorizon,INDEX(Buffers!$D:$D,MATCH($H761,Buffers!$AE:$AE,0))),0),$E761&gt;=SpikePct*INDEX(Buffers!$P:$P,MATCH($H761,Buffers!$AE:$AE,0))),"Spike","Not qualified"))))))</f>
        <v/>
      </c>
      <c r="G761" s="8" t="str">
        <f aca="false">IF($A761="","",IF(OR($F761="Past due",$F761="Due today",$F761="Spike"),$C761,0))</f>
        <v/>
      </c>
      <c r="H761" s="8" t="str">
        <f aca="false">IF($A761="","",SUBSTITUTE(SUBSTITUTE(SUBSTITUTE($A761&amp;"","~","~~"),"*","~*"),"?","~?"))</f>
        <v/>
      </c>
    </row>
    <row r="762" customFormat="false" ht="15" hidden="false" customHeight="false" outlineLevel="0" collapsed="false">
      <c r="A762" s="11"/>
      <c r="B762" s="6"/>
      <c r="C762" s="11"/>
      <c r="D762" s="11"/>
      <c r="E762" s="8" t="str">
        <f aca="false">IF($A762="","",SUMIFS($C:$C,$A:$A,$H762,$B:$B,"&gt;="&amp;INT($B762),$B:$B,"&lt;"&amp;(INT($B762)+1)))</f>
        <v/>
      </c>
      <c r="F762" s="19" t="str">
        <f aca="false">IF($A762="","",IF(ISNA(MATCH($H762,Buffers!$AE:$AE,0)),"Not on Buffers",IF(NOT(ISNUMBER($B762)),"Needs a date",IF(INT($B762)&lt;PlanDate,"Past due",IF(INT($B762)=PlanDate,"Due today",IF(AND(INDEX(Buffers!$L:$L,MATCH($H762,Buffers!$AE:$AE,0))="Planned",$E762&gt;0,INT($B762)&lt;=PlanDate+ROUNDUP(IF(ISNUMBER(SpikeHorizon),SpikeHorizon,INDEX(Buffers!$D:$D,MATCH($H762,Buffers!$AE:$AE,0))),0),$E762&gt;=SpikePct*INDEX(Buffers!$P:$P,MATCH($H762,Buffers!$AE:$AE,0))),"Spike","Not qualified"))))))</f>
        <v/>
      </c>
      <c r="G762" s="8" t="str">
        <f aca="false">IF($A762="","",IF(OR($F762="Past due",$F762="Due today",$F762="Spike"),$C762,0))</f>
        <v/>
      </c>
      <c r="H762" s="8" t="str">
        <f aca="false">IF($A762="","",SUBSTITUTE(SUBSTITUTE(SUBSTITUTE($A762&amp;"","~","~~"),"*","~*"),"?","~?"))</f>
        <v/>
      </c>
    </row>
    <row r="763" customFormat="false" ht="15" hidden="false" customHeight="false" outlineLevel="0" collapsed="false">
      <c r="A763" s="11"/>
      <c r="B763" s="6"/>
      <c r="C763" s="11"/>
      <c r="D763" s="11"/>
      <c r="E763" s="8" t="str">
        <f aca="false">IF($A763="","",SUMIFS($C:$C,$A:$A,$H763,$B:$B,"&gt;="&amp;INT($B763),$B:$B,"&lt;"&amp;(INT($B763)+1)))</f>
        <v/>
      </c>
      <c r="F763" s="19" t="str">
        <f aca="false">IF($A763="","",IF(ISNA(MATCH($H763,Buffers!$AE:$AE,0)),"Not on Buffers",IF(NOT(ISNUMBER($B763)),"Needs a date",IF(INT($B763)&lt;PlanDate,"Past due",IF(INT($B763)=PlanDate,"Due today",IF(AND(INDEX(Buffers!$L:$L,MATCH($H763,Buffers!$AE:$AE,0))="Planned",$E763&gt;0,INT($B763)&lt;=PlanDate+ROUNDUP(IF(ISNUMBER(SpikeHorizon),SpikeHorizon,INDEX(Buffers!$D:$D,MATCH($H763,Buffers!$AE:$AE,0))),0),$E763&gt;=SpikePct*INDEX(Buffers!$P:$P,MATCH($H763,Buffers!$AE:$AE,0))),"Spike","Not qualified"))))))</f>
        <v/>
      </c>
      <c r="G763" s="8" t="str">
        <f aca="false">IF($A763="","",IF(OR($F763="Past due",$F763="Due today",$F763="Spike"),$C763,0))</f>
        <v/>
      </c>
      <c r="H763" s="8" t="str">
        <f aca="false">IF($A763="","",SUBSTITUTE(SUBSTITUTE(SUBSTITUTE($A763&amp;"","~","~~"),"*","~*"),"?","~?"))</f>
        <v/>
      </c>
    </row>
    <row r="764" customFormat="false" ht="15" hidden="false" customHeight="false" outlineLevel="0" collapsed="false">
      <c r="A764" s="11"/>
      <c r="B764" s="6"/>
      <c r="C764" s="11"/>
      <c r="D764" s="11"/>
      <c r="E764" s="8" t="str">
        <f aca="false">IF($A764="","",SUMIFS($C:$C,$A:$A,$H764,$B:$B,"&gt;="&amp;INT($B764),$B:$B,"&lt;"&amp;(INT($B764)+1)))</f>
        <v/>
      </c>
      <c r="F764" s="19" t="str">
        <f aca="false">IF($A764="","",IF(ISNA(MATCH($H764,Buffers!$AE:$AE,0)),"Not on Buffers",IF(NOT(ISNUMBER($B764)),"Needs a date",IF(INT($B764)&lt;PlanDate,"Past due",IF(INT($B764)=PlanDate,"Due today",IF(AND(INDEX(Buffers!$L:$L,MATCH($H764,Buffers!$AE:$AE,0))="Planned",$E764&gt;0,INT($B764)&lt;=PlanDate+ROUNDUP(IF(ISNUMBER(SpikeHorizon),SpikeHorizon,INDEX(Buffers!$D:$D,MATCH($H764,Buffers!$AE:$AE,0))),0),$E764&gt;=SpikePct*INDEX(Buffers!$P:$P,MATCH($H764,Buffers!$AE:$AE,0))),"Spike","Not qualified"))))))</f>
        <v/>
      </c>
      <c r="G764" s="8" t="str">
        <f aca="false">IF($A764="","",IF(OR($F764="Past due",$F764="Due today",$F764="Spike"),$C764,0))</f>
        <v/>
      </c>
      <c r="H764" s="8" t="str">
        <f aca="false">IF($A764="","",SUBSTITUTE(SUBSTITUTE(SUBSTITUTE($A764&amp;"","~","~~"),"*","~*"),"?","~?"))</f>
        <v/>
      </c>
    </row>
    <row r="765" customFormat="false" ht="15" hidden="false" customHeight="false" outlineLevel="0" collapsed="false">
      <c r="A765" s="11"/>
      <c r="B765" s="6"/>
      <c r="C765" s="11"/>
      <c r="D765" s="11"/>
      <c r="E765" s="8" t="str">
        <f aca="false">IF($A765="","",SUMIFS($C:$C,$A:$A,$H765,$B:$B,"&gt;="&amp;INT($B765),$B:$B,"&lt;"&amp;(INT($B765)+1)))</f>
        <v/>
      </c>
      <c r="F765" s="19" t="str">
        <f aca="false">IF($A765="","",IF(ISNA(MATCH($H765,Buffers!$AE:$AE,0)),"Not on Buffers",IF(NOT(ISNUMBER($B765)),"Needs a date",IF(INT($B765)&lt;PlanDate,"Past due",IF(INT($B765)=PlanDate,"Due today",IF(AND(INDEX(Buffers!$L:$L,MATCH($H765,Buffers!$AE:$AE,0))="Planned",$E765&gt;0,INT($B765)&lt;=PlanDate+ROUNDUP(IF(ISNUMBER(SpikeHorizon),SpikeHorizon,INDEX(Buffers!$D:$D,MATCH($H765,Buffers!$AE:$AE,0))),0),$E765&gt;=SpikePct*INDEX(Buffers!$P:$P,MATCH($H765,Buffers!$AE:$AE,0))),"Spike","Not qualified"))))))</f>
        <v/>
      </c>
      <c r="G765" s="8" t="str">
        <f aca="false">IF($A765="","",IF(OR($F765="Past due",$F765="Due today",$F765="Spike"),$C765,0))</f>
        <v/>
      </c>
      <c r="H765" s="8" t="str">
        <f aca="false">IF($A765="","",SUBSTITUTE(SUBSTITUTE(SUBSTITUTE($A765&amp;"","~","~~"),"*","~*"),"?","~?"))</f>
        <v/>
      </c>
    </row>
    <row r="766" customFormat="false" ht="15" hidden="false" customHeight="false" outlineLevel="0" collapsed="false">
      <c r="A766" s="11"/>
      <c r="B766" s="6"/>
      <c r="C766" s="11"/>
      <c r="D766" s="11"/>
      <c r="E766" s="8" t="str">
        <f aca="false">IF($A766="","",SUMIFS($C:$C,$A:$A,$H766,$B:$B,"&gt;="&amp;INT($B766),$B:$B,"&lt;"&amp;(INT($B766)+1)))</f>
        <v/>
      </c>
      <c r="F766" s="19" t="str">
        <f aca="false">IF($A766="","",IF(ISNA(MATCH($H766,Buffers!$AE:$AE,0)),"Not on Buffers",IF(NOT(ISNUMBER($B766)),"Needs a date",IF(INT($B766)&lt;PlanDate,"Past due",IF(INT($B766)=PlanDate,"Due today",IF(AND(INDEX(Buffers!$L:$L,MATCH($H766,Buffers!$AE:$AE,0))="Planned",$E766&gt;0,INT($B766)&lt;=PlanDate+ROUNDUP(IF(ISNUMBER(SpikeHorizon),SpikeHorizon,INDEX(Buffers!$D:$D,MATCH($H766,Buffers!$AE:$AE,0))),0),$E766&gt;=SpikePct*INDEX(Buffers!$P:$P,MATCH($H766,Buffers!$AE:$AE,0))),"Spike","Not qualified"))))))</f>
        <v/>
      </c>
      <c r="G766" s="8" t="str">
        <f aca="false">IF($A766="","",IF(OR($F766="Past due",$F766="Due today",$F766="Spike"),$C766,0))</f>
        <v/>
      </c>
      <c r="H766" s="8" t="str">
        <f aca="false">IF($A766="","",SUBSTITUTE(SUBSTITUTE(SUBSTITUTE($A766&amp;"","~","~~"),"*","~*"),"?","~?"))</f>
        <v/>
      </c>
    </row>
    <row r="767" customFormat="false" ht="15" hidden="false" customHeight="false" outlineLevel="0" collapsed="false">
      <c r="A767" s="11"/>
      <c r="B767" s="6"/>
      <c r="C767" s="11"/>
      <c r="D767" s="11"/>
      <c r="E767" s="8" t="str">
        <f aca="false">IF($A767="","",SUMIFS($C:$C,$A:$A,$H767,$B:$B,"&gt;="&amp;INT($B767),$B:$B,"&lt;"&amp;(INT($B767)+1)))</f>
        <v/>
      </c>
      <c r="F767" s="19" t="str">
        <f aca="false">IF($A767="","",IF(ISNA(MATCH($H767,Buffers!$AE:$AE,0)),"Not on Buffers",IF(NOT(ISNUMBER($B767)),"Needs a date",IF(INT($B767)&lt;PlanDate,"Past due",IF(INT($B767)=PlanDate,"Due today",IF(AND(INDEX(Buffers!$L:$L,MATCH($H767,Buffers!$AE:$AE,0))="Planned",$E767&gt;0,INT($B767)&lt;=PlanDate+ROUNDUP(IF(ISNUMBER(SpikeHorizon),SpikeHorizon,INDEX(Buffers!$D:$D,MATCH($H767,Buffers!$AE:$AE,0))),0),$E767&gt;=SpikePct*INDEX(Buffers!$P:$P,MATCH($H767,Buffers!$AE:$AE,0))),"Spike","Not qualified"))))))</f>
        <v/>
      </c>
      <c r="G767" s="8" t="str">
        <f aca="false">IF($A767="","",IF(OR($F767="Past due",$F767="Due today",$F767="Spike"),$C767,0))</f>
        <v/>
      </c>
      <c r="H767" s="8" t="str">
        <f aca="false">IF($A767="","",SUBSTITUTE(SUBSTITUTE(SUBSTITUTE($A767&amp;"","~","~~"),"*","~*"),"?","~?"))</f>
        <v/>
      </c>
    </row>
    <row r="768" customFormat="false" ht="15" hidden="false" customHeight="false" outlineLevel="0" collapsed="false">
      <c r="A768" s="11"/>
      <c r="B768" s="6"/>
      <c r="C768" s="11"/>
      <c r="D768" s="11"/>
      <c r="E768" s="8" t="str">
        <f aca="false">IF($A768="","",SUMIFS($C:$C,$A:$A,$H768,$B:$B,"&gt;="&amp;INT($B768),$B:$B,"&lt;"&amp;(INT($B768)+1)))</f>
        <v/>
      </c>
      <c r="F768" s="19" t="str">
        <f aca="false">IF($A768="","",IF(ISNA(MATCH($H768,Buffers!$AE:$AE,0)),"Not on Buffers",IF(NOT(ISNUMBER($B768)),"Needs a date",IF(INT($B768)&lt;PlanDate,"Past due",IF(INT($B768)=PlanDate,"Due today",IF(AND(INDEX(Buffers!$L:$L,MATCH($H768,Buffers!$AE:$AE,0))="Planned",$E768&gt;0,INT($B768)&lt;=PlanDate+ROUNDUP(IF(ISNUMBER(SpikeHorizon),SpikeHorizon,INDEX(Buffers!$D:$D,MATCH($H768,Buffers!$AE:$AE,0))),0),$E768&gt;=SpikePct*INDEX(Buffers!$P:$P,MATCH($H768,Buffers!$AE:$AE,0))),"Spike","Not qualified"))))))</f>
        <v/>
      </c>
      <c r="G768" s="8" t="str">
        <f aca="false">IF($A768="","",IF(OR($F768="Past due",$F768="Due today",$F768="Spike"),$C768,0))</f>
        <v/>
      </c>
      <c r="H768" s="8" t="str">
        <f aca="false">IF($A768="","",SUBSTITUTE(SUBSTITUTE(SUBSTITUTE($A768&amp;"","~","~~"),"*","~*"),"?","~?"))</f>
        <v/>
      </c>
    </row>
    <row r="769" customFormat="false" ht="15" hidden="false" customHeight="false" outlineLevel="0" collapsed="false">
      <c r="A769" s="11"/>
      <c r="B769" s="6"/>
      <c r="C769" s="11"/>
      <c r="D769" s="11"/>
      <c r="E769" s="8" t="str">
        <f aca="false">IF($A769="","",SUMIFS($C:$C,$A:$A,$H769,$B:$B,"&gt;="&amp;INT($B769),$B:$B,"&lt;"&amp;(INT($B769)+1)))</f>
        <v/>
      </c>
      <c r="F769" s="19" t="str">
        <f aca="false">IF($A769="","",IF(ISNA(MATCH($H769,Buffers!$AE:$AE,0)),"Not on Buffers",IF(NOT(ISNUMBER($B769)),"Needs a date",IF(INT($B769)&lt;PlanDate,"Past due",IF(INT($B769)=PlanDate,"Due today",IF(AND(INDEX(Buffers!$L:$L,MATCH($H769,Buffers!$AE:$AE,0))="Planned",$E769&gt;0,INT($B769)&lt;=PlanDate+ROUNDUP(IF(ISNUMBER(SpikeHorizon),SpikeHorizon,INDEX(Buffers!$D:$D,MATCH($H769,Buffers!$AE:$AE,0))),0),$E769&gt;=SpikePct*INDEX(Buffers!$P:$P,MATCH($H769,Buffers!$AE:$AE,0))),"Spike","Not qualified"))))))</f>
        <v/>
      </c>
      <c r="G769" s="8" t="str">
        <f aca="false">IF($A769="","",IF(OR($F769="Past due",$F769="Due today",$F769="Spike"),$C769,0))</f>
        <v/>
      </c>
      <c r="H769" s="8" t="str">
        <f aca="false">IF($A769="","",SUBSTITUTE(SUBSTITUTE(SUBSTITUTE($A769&amp;"","~","~~"),"*","~*"),"?","~?"))</f>
        <v/>
      </c>
    </row>
    <row r="770" customFormat="false" ht="15" hidden="false" customHeight="false" outlineLevel="0" collapsed="false">
      <c r="A770" s="11"/>
      <c r="B770" s="6"/>
      <c r="C770" s="11"/>
      <c r="D770" s="11"/>
      <c r="E770" s="8" t="str">
        <f aca="false">IF($A770="","",SUMIFS($C:$C,$A:$A,$H770,$B:$B,"&gt;="&amp;INT($B770),$B:$B,"&lt;"&amp;(INT($B770)+1)))</f>
        <v/>
      </c>
      <c r="F770" s="19" t="str">
        <f aca="false">IF($A770="","",IF(ISNA(MATCH($H770,Buffers!$AE:$AE,0)),"Not on Buffers",IF(NOT(ISNUMBER($B770)),"Needs a date",IF(INT($B770)&lt;PlanDate,"Past due",IF(INT($B770)=PlanDate,"Due today",IF(AND(INDEX(Buffers!$L:$L,MATCH($H770,Buffers!$AE:$AE,0))="Planned",$E770&gt;0,INT($B770)&lt;=PlanDate+ROUNDUP(IF(ISNUMBER(SpikeHorizon),SpikeHorizon,INDEX(Buffers!$D:$D,MATCH($H770,Buffers!$AE:$AE,0))),0),$E770&gt;=SpikePct*INDEX(Buffers!$P:$P,MATCH($H770,Buffers!$AE:$AE,0))),"Spike","Not qualified"))))))</f>
        <v/>
      </c>
      <c r="G770" s="8" t="str">
        <f aca="false">IF($A770="","",IF(OR($F770="Past due",$F770="Due today",$F770="Spike"),$C770,0))</f>
        <v/>
      </c>
      <c r="H770" s="8" t="str">
        <f aca="false">IF($A770="","",SUBSTITUTE(SUBSTITUTE(SUBSTITUTE($A770&amp;"","~","~~"),"*","~*"),"?","~?"))</f>
        <v/>
      </c>
    </row>
    <row r="771" customFormat="false" ht="15" hidden="false" customHeight="false" outlineLevel="0" collapsed="false">
      <c r="A771" s="11"/>
      <c r="B771" s="6"/>
      <c r="C771" s="11"/>
      <c r="D771" s="11"/>
      <c r="E771" s="8" t="str">
        <f aca="false">IF($A771="","",SUMIFS($C:$C,$A:$A,$H771,$B:$B,"&gt;="&amp;INT($B771),$B:$B,"&lt;"&amp;(INT($B771)+1)))</f>
        <v/>
      </c>
      <c r="F771" s="19" t="str">
        <f aca="false">IF($A771="","",IF(ISNA(MATCH($H771,Buffers!$AE:$AE,0)),"Not on Buffers",IF(NOT(ISNUMBER($B771)),"Needs a date",IF(INT($B771)&lt;PlanDate,"Past due",IF(INT($B771)=PlanDate,"Due today",IF(AND(INDEX(Buffers!$L:$L,MATCH($H771,Buffers!$AE:$AE,0))="Planned",$E771&gt;0,INT($B771)&lt;=PlanDate+ROUNDUP(IF(ISNUMBER(SpikeHorizon),SpikeHorizon,INDEX(Buffers!$D:$D,MATCH($H771,Buffers!$AE:$AE,0))),0),$E771&gt;=SpikePct*INDEX(Buffers!$P:$P,MATCH($H771,Buffers!$AE:$AE,0))),"Spike","Not qualified"))))))</f>
        <v/>
      </c>
      <c r="G771" s="8" t="str">
        <f aca="false">IF($A771="","",IF(OR($F771="Past due",$F771="Due today",$F771="Spike"),$C771,0))</f>
        <v/>
      </c>
      <c r="H771" s="8" t="str">
        <f aca="false">IF($A771="","",SUBSTITUTE(SUBSTITUTE(SUBSTITUTE($A771&amp;"","~","~~"),"*","~*"),"?","~?"))</f>
        <v/>
      </c>
    </row>
    <row r="772" customFormat="false" ht="15" hidden="false" customHeight="false" outlineLevel="0" collapsed="false">
      <c r="A772" s="11"/>
      <c r="B772" s="6"/>
      <c r="C772" s="11"/>
      <c r="D772" s="11"/>
      <c r="E772" s="8" t="str">
        <f aca="false">IF($A772="","",SUMIFS($C:$C,$A:$A,$H772,$B:$B,"&gt;="&amp;INT($B772),$B:$B,"&lt;"&amp;(INT($B772)+1)))</f>
        <v/>
      </c>
      <c r="F772" s="19" t="str">
        <f aca="false">IF($A772="","",IF(ISNA(MATCH($H772,Buffers!$AE:$AE,0)),"Not on Buffers",IF(NOT(ISNUMBER($B772)),"Needs a date",IF(INT($B772)&lt;PlanDate,"Past due",IF(INT($B772)=PlanDate,"Due today",IF(AND(INDEX(Buffers!$L:$L,MATCH($H772,Buffers!$AE:$AE,0))="Planned",$E772&gt;0,INT($B772)&lt;=PlanDate+ROUNDUP(IF(ISNUMBER(SpikeHorizon),SpikeHorizon,INDEX(Buffers!$D:$D,MATCH($H772,Buffers!$AE:$AE,0))),0),$E772&gt;=SpikePct*INDEX(Buffers!$P:$P,MATCH($H772,Buffers!$AE:$AE,0))),"Spike","Not qualified"))))))</f>
        <v/>
      </c>
      <c r="G772" s="8" t="str">
        <f aca="false">IF($A772="","",IF(OR($F772="Past due",$F772="Due today",$F772="Spike"),$C772,0))</f>
        <v/>
      </c>
      <c r="H772" s="8" t="str">
        <f aca="false">IF($A772="","",SUBSTITUTE(SUBSTITUTE(SUBSTITUTE($A772&amp;"","~","~~"),"*","~*"),"?","~?"))</f>
        <v/>
      </c>
    </row>
    <row r="773" customFormat="false" ht="15" hidden="false" customHeight="false" outlineLevel="0" collapsed="false">
      <c r="A773" s="11"/>
      <c r="B773" s="6"/>
      <c r="C773" s="11"/>
      <c r="D773" s="11"/>
      <c r="E773" s="8" t="str">
        <f aca="false">IF($A773="","",SUMIFS($C:$C,$A:$A,$H773,$B:$B,"&gt;="&amp;INT($B773),$B:$B,"&lt;"&amp;(INT($B773)+1)))</f>
        <v/>
      </c>
      <c r="F773" s="19" t="str">
        <f aca="false">IF($A773="","",IF(ISNA(MATCH($H773,Buffers!$AE:$AE,0)),"Not on Buffers",IF(NOT(ISNUMBER($B773)),"Needs a date",IF(INT($B773)&lt;PlanDate,"Past due",IF(INT($B773)=PlanDate,"Due today",IF(AND(INDEX(Buffers!$L:$L,MATCH($H773,Buffers!$AE:$AE,0))="Planned",$E773&gt;0,INT($B773)&lt;=PlanDate+ROUNDUP(IF(ISNUMBER(SpikeHorizon),SpikeHorizon,INDEX(Buffers!$D:$D,MATCH($H773,Buffers!$AE:$AE,0))),0),$E773&gt;=SpikePct*INDEX(Buffers!$P:$P,MATCH($H773,Buffers!$AE:$AE,0))),"Spike","Not qualified"))))))</f>
        <v/>
      </c>
      <c r="G773" s="8" t="str">
        <f aca="false">IF($A773="","",IF(OR($F773="Past due",$F773="Due today",$F773="Spike"),$C773,0))</f>
        <v/>
      </c>
      <c r="H773" s="8" t="str">
        <f aca="false">IF($A773="","",SUBSTITUTE(SUBSTITUTE(SUBSTITUTE($A773&amp;"","~","~~"),"*","~*"),"?","~?"))</f>
        <v/>
      </c>
    </row>
    <row r="774" customFormat="false" ht="15" hidden="false" customHeight="false" outlineLevel="0" collapsed="false">
      <c r="A774" s="11"/>
      <c r="B774" s="6"/>
      <c r="C774" s="11"/>
      <c r="D774" s="11"/>
      <c r="E774" s="8" t="str">
        <f aca="false">IF($A774="","",SUMIFS($C:$C,$A:$A,$H774,$B:$B,"&gt;="&amp;INT($B774),$B:$B,"&lt;"&amp;(INT($B774)+1)))</f>
        <v/>
      </c>
      <c r="F774" s="19" t="str">
        <f aca="false">IF($A774="","",IF(ISNA(MATCH($H774,Buffers!$AE:$AE,0)),"Not on Buffers",IF(NOT(ISNUMBER($B774)),"Needs a date",IF(INT($B774)&lt;PlanDate,"Past due",IF(INT($B774)=PlanDate,"Due today",IF(AND(INDEX(Buffers!$L:$L,MATCH($H774,Buffers!$AE:$AE,0))="Planned",$E774&gt;0,INT($B774)&lt;=PlanDate+ROUNDUP(IF(ISNUMBER(SpikeHorizon),SpikeHorizon,INDEX(Buffers!$D:$D,MATCH($H774,Buffers!$AE:$AE,0))),0),$E774&gt;=SpikePct*INDEX(Buffers!$P:$P,MATCH($H774,Buffers!$AE:$AE,0))),"Spike","Not qualified"))))))</f>
        <v/>
      </c>
      <c r="G774" s="8" t="str">
        <f aca="false">IF($A774="","",IF(OR($F774="Past due",$F774="Due today",$F774="Spike"),$C774,0))</f>
        <v/>
      </c>
      <c r="H774" s="8" t="str">
        <f aca="false">IF($A774="","",SUBSTITUTE(SUBSTITUTE(SUBSTITUTE($A774&amp;"","~","~~"),"*","~*"),"?","~?"))</f>
        <v/>
      </c>
    </row>
    <row r="775" customFormat="false" ht="15" hidden="false" customHeight="false" outlineLevel="0" collapsed="false">
      <c r="A775" s="11"/>
      <c r="B775" s="6"/>
      <c r="C775" s="11"/>
      <c r="D775" s="11"/>
      <c r="E775" s="8" t="str">
        <f aca="false">IF($A775="","",SUMIFS($C:$C,$A:$A,$H775,$B:$B,"&gt;="&amp;INT($B775),$B:$B,"&lt;"&amp;(INT($B775)+1)))</f>
        <v/>
      </c>
      <c r="F775" s="19" t="str">
        <f aca="false">IF($A775="","",IF(ISNA(MATCH($H775,Buffers!$AE:$AE,0)),"Not on Buffers",IF(NOT(ISNUMBER($B775)),"Needs a date",IF(INT($B775)&lt;PlanDate,"Past due",IF(INT($B775)=PlanDate,"Due today",IF(AND(INDEX(Buffers!$L:$L,MATCH($H775,Buffers!$AE:$AE,0))="Planned",$E775&gt;0,INT($B775)&lt;=PlanDate+ROUNDUP(IF(ISNUMBER(SpikeHorizon),SpikeHorizon,INDEX(Buffers!$D:$D,MATCH($H775,Buffers!$AE:$AE,0))),0),$E775&gt;=SpikePct*INDEX(Buffers!$P:$P,MATCH($H775,Buffers!$AE:$AE,0))),"Spike","Not qualified"))))))</f>
        <v/>
      </c>
      <c r="G775" s="8" t="str">
        <f aca="false">IF($A775="","",IF(OR($F775="Past due",$F775="Due today",$F775="Spike"),$C775,0))</f>
        <v/>
      </c>
      <c r="H775" s="8" t="str">
        <f aca="false">IF($A775="","",SUBSTITUTE(SUBSTITUTE(SUBSTITUTE($A775&amp;"","~","~~"),"*","~*"),"?","~?"))</f>
        <v/>
      </c>
    </row>
    <row r="776" customFormat="false" ht="15" hidden="false" customHeight="false" outlineLevel="0" collapsed="false">
      <c r="A776" s="11"/>
      <c r="B776" s="6"/>
      <c r="C776" s="11"/>
      <c r="D776" s="11"/>
      <c r="E776" s="8" t="str">
        <f aca="false">IF($A776="","",SUMIFS($C:$C,$A:$A,$H776,$B:$B,"&gt;="&amp;INT($B776),$B:$B,"&lt;"&amp;(INT($B776)+1)))</f>
        <v/>
      </c>
      <c r="F776" s="19" t="str">
        <f aca="false">IF($A776="","",IF(ISNA(MATCH($H776,Buffers!$AE:$AE,0)),"Not on Buffers",IF(NOT(ISNUMBER($B776)),"Needs a date",IF(INT($B776)&lt;PlanDate,"Past due",IF(INT($B776)=PlanDate,"Due today",IF(AND(INDEX(Buffers!$L:$L,MATCH($H776,Buffers!$AE:$AE,0))="Planned",$E776&gt;0,INT($B776)&lt;=PlanDate+ROUNDUP(IF(ISNUMBER(SpikeHorizon),SpikeHorizon,INDEX(Buffers!$D:$D,MATCH($H776,Buffers!$AE:$AE,0))),0),$E776&gt;=SpikePct*INDEX(Buffers!$P:$P,MATCH($H776,Buffers!$AE:$AE,0))),"Spike","Not qualified"))))))</f>
        <v/>
      </c>
      <c r="G776" s="8" t="str">
        <f aca="false">IF($A776="","",IF(OR($F776="Past due",$F776="Due today",$F776="Spike"),$C776,0))</f>
        <v/>
      </c>
      <c r="H776" s="8" t="str">
        <f aca="false">IF($A776="","",SUBSTITUTE(SUBSTITUTE(SUBSTITUTE($A776&amp;"","~","~~"),"*","~*"),"?","~?"))</f>
        <v/>
      </c>
    </row>
    <row r="777" customFormat="false" ht="15" hidden="false" customHeight="false" outlineLevel="0" collapsed="false">
      <c r="A777" s="11"/>
      <c r="B777" s="6"/>
      <c r="C777" s="11"/>
      <c r="D777" s="11"/>
      <c r="E777" s="8" t="str">
        <f aca="false">IF($A777="","",SUMIFS($C:$C,$A:$A,$H777,$B:$B,"&gt;="&amp;INT($B777),$B:$B,"&lt;"&amp;(INT($B777)+1)))</f>
        <v/>
      </c>
      <c r="F777" s="19" t="str">
        <f aca="false">IF($A777="","",IF(ISNA(MATCH($H777,Buffers!$AE:$AE,0)),"Not on Buffers",IF(NOT(ISNUMBER($B777)),"Needs a date",IF(INT($B777)&lt;PlanDate,"Past due",IF(INT($B777)=PlanDate,"Due today",IF(AND(INDEX(Buffers!$L:$L,MATCH($H777,Buffers!$AE:$AE,0))="Planned",$E777&gt;0,INT($B777)&lt;=PlanDate+ROUNDUP(IF(ISNUMBER(SpikeHorizon),SpikeHorizon,INDEX(Buffers!$D:$D,MATCH($H777,Buffers!$AE:$AE,0))),0),$E777&gt;=SpikePct*INDEX(Buffers!$P:$P,MATCH($H777,Buffers!$AE:$AE,0))),"Spike","Not qualified"))))))</f>
        <v/>
      </c>
      <c r="G777" s="8" t="str">
        <f aca="false">IF($A777="","",IF(OR($F777="Past due",$F777="Due today",$F777="Spike"),$C777,0))</f>
        <v/>
      </c>
      <c r="H777" s="8" t="str">
        <f aca="false">IF($A777="","",SUBSTITUTE(SUBSTITUTE(SUBSTITUTE($A777&amp;"","~","~~"),"*","~*"),"?","~?"))</f>
        <v/>
      </c>
    </row>
    <row r="778" customFormat="false" ht="15" hidden="false" customHeight="false" outlineLevel="0" collapsed="false">
      <c r="A778" s="11"/>
      <c r="B778" s="6"/>
      <c r="C778" s="11"/>
      <c r="D778" s="11"/>
      <c r="E778" s="8" t="str">
        <f aca="false">IF($A778="","",SUMIFS($C:$C,$A:$A,$H778,$B:$B,"&gt;="&amp;INT($B778),$B:$B,"&lt;"&amp;(INT($B778)+1)))</f>
        <v/>
      </c>
      <c r="F778" s="19" t="str">
        <f aca="false">IF($A778="","",IF(ISNA(MATCH($H778,Buffers!$AE:$AE,0)),"Not on Buffers",IF(NOT(ISNUMBER($B778)),"Needs a date",IF(INT($B778)&lt;PlanDate,"Past due",IF(INT($B778)=PlanDate,"Due today",IF(AND(INDEX(Buffers!$L:$L,MATCH($H778,Buffers!$AE:$AE,0))="Planned",$E778&gt;0,INT($B778)&lt;=PlanDate+ROUNDUP(IF(ISNUMBER(SpikeHorizon),SpikeHorizon,INDEX(Buffers!$D:$D,MATCH($H778,Buffers!$AE:$AE,0))),0),$E778&gt;=SpikePct*INDEX(Buffers!$P:$P,MATCH($H778,Buffers!$AE:$AE,0))),"Spike","Not qualified"))))))</f>
        <v/>
      </c>
      <c r="G778" s="8" t="str">
        <f aca="false">IF($A778="","",IF(OR($F778="Past due",$F778="Due today",$F778="Spike"),$C778,0))</f>
        <v/>
      </c>
      <c r="H778" s="8" t="str">
        <f aca="false">IF($A778="","",SUBSTITUTE(SUBSTITUTE(SUBSTITUTE($A778&amp;"","~","~~"),"*","~*"),"?","~?"))</f>
        <v/>
      </c>
    </row>
    <row r="779" customFormat="false" ht="15" hidden="false" customHeight="false" outlineLevel="0" collapsed="false">
      <c r="A779" s="11"/>
      <c r="B779" s="6"/>
      <c r="C779" s="11"/>
      <c r="D779" s="11"/>
      <c r="E779" s="8" t="str">
        <f aca="false">IF($A779="","",SUMIFS($C:$C,$A:$A,$H779,$B:$B,"&gt;="&amp;INT($B779),$B:$B,"&lt;"&amp;(INT($B779)+1)))</f>
        <v/>
      </c>
      <c r="F779" s="19" t="str">
        <f aca="false">IF($A779="","",IF(ISNA(MATCH($H779,Buffers!$AE:$AE,0)),"Not on Buffers",IF(NOT(ISNUMBER($B779)),"Needs a date",IF(INT($B779)&lt;PlanDate,"Past due",IF(INT($B779)=PlanDate,"Due today",IF(AND(INDEX(Buffers!$L:$L,MATCH($H779,Buffers!$AE:$AE,0))="Planned",$E779&gt;0,INT($B779)&lt;=PlanDate+ROUNDUP(IF(ISNUMBER(SpikeHorizon),SpikeHorizon,INDEX(Buffers!$D:$D,MATCH($H779,Buffers!$AE:$AE,0))),0),$E779&gt;=SpikePct*INDEX(Buffers!$P:$P,MATCH($H779,Buffers!$AE:$AE,0))),"Spike","Not qualified"))))))</f>
        <v/>
      </c>
      <c r="G779" s="8" t="str">
        <f aca="false">IF($A779="","",IF(OR($F779="Past due",$F779="Due today",$F779="Spike"),$C779,0))</f>
        <v/>
      </c>
      <c r="H779" s="8" t="str">
        <f aca="false">IF($A779="","",SUBSTITUTE(SUBSTITUTE(SUBSTITUTE($A779&amp;"","~","~~"),"*","~*"),"?","~?"))</f>
        <v/>
      </c>
    </row>
    <row r="780" customFormat="false" ht="15" hidden="false" customHeight="false" outlineLevel="0" collapsed="false">
      <c r="A780" s="11"/>
      <c r="B780" s="6"/>
      <c r="C780" s="11"/>
      <c r="D780" s="11"/>
      <c r="E780" s="8" t="str">
        <f aca="false">IF($A780="","",SUMIFS($C:$C,$A:$A,$H780,$B:$B,"&gt;="&amp;INT($B780),$B:$B,"&lt;"&amp;(INT($B780)+1)))</f>
        <v/>
      </c>
      <c r="F780" s="19" t="str">
        <f aca="false">IF($A780="","",IF(ISNA(MATCH($H780,Buffers!$AE:$AE,0)),"Not on Buffers",IF(NOT(ISNUMBER($B780)),"Needs a date",IF(INT($B780)&lt;PlanDate,"Past due",IF(INT($B780)=PlanDate,"Due today",IF(AND(INDEX(Buffers!$L:$L,MATCH($H780,Buffers!$AE:$AE,0))="Planned",$E780&gt;0,INT($B780)&lt;=PlanDate+ROUNDUP(IF(ISNUMBER(SpikeHorizon),SpikeHorizon,INDEX(Buffers!$D:$D,MATCH($H780,Buffers!$AE:$AE,0))),0),$E780&gt;=SpikePct*INDEX(Buffers!$P:$P,MATCH($H780,Buffers!$AE:$AE,0))),"Spike","Not qualified"))))))</f>
        <v/>
      </c>
      <c r="G780" s="8" t="str">
        <f aca="false">IF($A780="","",IF(OR($F780="Past due",$F780="Due today",$F780="Spike"),$C780,0))</f>
        <v/>
      </c>
      <c r="H780" s="8" t="str">
        <f aca="false">IF($A780="","",SUBSTITUTE(SUBSTITUTE(SUBSTITUTE($A780&amp;"","~","~~"),"*","~*"),"?","~?"))</f>
        <v/>
      </c>
    </row>
    <row r="781" customFormat="false" ht="15" hidden="false" customHeight="false" outlineLevel="0" collapsed="false">
      <c r="A781" s="11"/>
      <c r="B781" s="6"/>
      <c r="C781" s="11"/>
      <c r="D781" s="11"/>
      <c r="E781" s="8" t="str">
        <f aca="false">IF($A781="","",SUMIFS($C:$C,$A:$A,$H781,$B:$B,"&gt;="&amp;INT($B781),$B:$B,"&lt;"&amp;(INT($B781)+1)))</f>
        <v/>
      </c>
      <c r="F781" s="19" t="str">
        <f aca="false">IF($A781="","",IF(ISNA(MATCH($H781,Buffers!$AE:$AE,0)),"Not on Buffers",IF(NOT(ISNUMBER($B781)),"Needs a date",IF(INT($B781)&lt;PlanDate,"Past due",IF(INT($B781)=PlanDate,"Due today",IF(AND(INDEX(Buffers!$L:$L,MATCH($H781,Buffers!$AE:$AE,0))="Planned",$E781&gt;0,INT($B781)&lt;=PlanDate+ROUNDUP(IF(ISNUMBER(SpikeHorizon),SpikeHorizon,INDEX(Buffers!$D:$D,MATCH($H781,Buffers!$AE:$AE,0))),0),$E781&gt;=SpikePct*INDEX(Buffers!$P:$P,MATCH($H781,Buffers!$AE:$AE,0))),"Spike","Not qualified"))))))</f>
        <v/>
      </c>
      <c r="G781" s="8" t="str">
        <f aca="false">IF($A781="","",IF(OR($F781="Past due",$F781="Due today",$F781="Spike"),$C781,0))</f>
        <v/>
      </c>
      <c r="H781" s="8" t="str">
        <f aca="false">IF($A781="","",SUBSTITUTE(SUBSTITUTE(SUBSTITUTE($A781&amp;"","~","~~"),"*","~*"),"?","~?"))</f>
        <v/>
      </c>
    </row>
    <row r="782" customFormat="false" ht="15" hidden="false" customHeight="false" outlineLevel="0" collapsed="false">
      <c r="A782" s="11"/>
      <c r="B782" s="6"/>
      <c r="C782" s="11"/>
      <c r="D782" s="11"/>
      <c r="E782" s="8" t="str">
        <f aca="false">IF($A782="","",SUMIFS($C:$C,$A:$A,$H782,$B:$B,"&gt;="&amp;INT($B782),$B:$B,"&lt;"&amp;(INT($B782)+1)))</f>
        <v/>
      </c>
      <c r="F782" s="19" t="str">
        <f aca="false">IF($A782="","",IF(ISNA(MATCH($H782,Buffers!$AE:$AE,0)),"Not on Buffers",IF(NOT(ISNUMBER($B782)),"Needs a date",IF(INT($B782)&lt;PlanDate,"Past due",IF(INT($B782)=PlanDate,"Due today",IF(AND(INDEX(Buffers!$L:$L,MATCH($H782,Buffers!$AE:$AE,0))="Planned",$E782&gt;0,INT($B782)&lt;=PlanDate+ROUNDUP(IF(ISNUMBER(SpikeHorizon),SpikeHorizon,INDEX(Buffers!$D:$D,MATCH($H782,Buffers!$AE:$AE,0))),0),$E782&gt;=SpikePct*INDEX(Buffers!$P:$P,MATCH($H782,Buffers!$AE:$AE,0))),"Spike","Not qualified"))))))</f>
        <v/>
      </c>
      <c r="G782" s="8" t="str">
        <f aca="false">IF($A782="","",IF(OR($F782="Past due",$F782="Due today",$F782="Spike"),$C782,0))</f>
        <v/>
      </c>
      <c r="H782" s="8" t="str">
        <f aca="false">IF($A782="","",SUBSTITUTE(SUBSTITUTE(SUBSTITUTE($A782&amp;"","~","~~"),"*","~*"),"?","~?"))</f>
        <v/>
      </c>
    </row>
    <row r="783" customFormat="false" ht="15" hidden="false" customHeight="false" outlineLevel="0" collapsed="false">
      <c r="A783" s="11"/>
      <c r="B783" s="6"/>
      <c r="C783" s="11"/>
      <c r="D783" s="11"/>
      <c r="E783" s="8" t="str">
        <f aca="false">IF($A783="","",SUMIFS($C:$C,$A:$A,$H783,$B:$B,"&gt;="&amp;INT($B783),$B:$B,"&lt;"&amp;(INT($B783)+1)))</f>
        <v/>
      </c>
      <c r="F783" s="19" t="str">
        <f aca="false">IF($A783="","",IF(ISNA(MATCH($H783,Buffers!$AE:$AE,0)),"Not on Buffers",IF(NOT(ISNUMBER($B783)),"Needs a date",IF(INT($B783)&lt;PlanDate,"Past due",IF(INT($B783)=PlanDate,"Due today",IF(AND(INDEX(Buffers!$L:$L,MATCH($H783,Buffers!$AE:$AE,0))="Planned",$E783&gt;0,INT($B783)&lt;=PlanDate+ROUNDUP(IF(ISNUMBER(SpikeHorizon),SpikeHorizon,INDEX(Buffers!$D:$D,MATCH($H783,Buffers!$AE:$AE,0))),0),$E783&gt;=SpikePct*INDEX(Buffers!$P:$P,MATCH($H783,Buffers!$AE:$AE,0))),"Spike","Not qualified"))))))</f>
        <v/>
      </c>
      <c r="G783" s="8" t="str">
        <f aca="false">IF($A783="","",IF(OR($F783="Past due",$F783="Due today",$F783="Spike"),$C783,0))</f>
        <v/>
      </c>
      <c r="H783" s="8" t="str">
        <f aca="false">IF($A783="","",SUBSTITUTE(SUBSTITUTE(SUBSTITUTE($A783&amp;"","~","~~"),"*","~*"),"?","~?"))</f>
        <v/>
      </c>
    </row>
    <row r="784" customFormat="false" ht="15" hidden="false" customHeight="false" outlineLevel="0" collapsed="false">
      <c r="A784" s="11"/>
      <c r="B784" s="6"/>
      <c r="C784" s="11"/>
      <c r="D784" s="11"/>
      <c r="E784" s="8" t="str">
        <f aca="false">IF($A784="","",SUMIFS($C:$C,$A:$A,$H784,$B:$B,"&gt;="&amp;INT($B784),$B:$B,"&lt;"&amp;(INT($B784)+1)))</f>
        <v/>
      </c>
      <c r="F784" s="19" t="str">
        <f aca="false">IF($A784="","",IF(ISNA(MATCH($H784,Buffers!$AE:$AE,0)),"Not on Buffers",IF(NOT(ISNUMBER($B784)),"Needs a date",IF(INT($B784)&lt;PlanDate,"Past due",IF(INT($B784)=PlanDate,"Due today",IF(AND(INDEX(Buffers!$L:$L,MATCH($H784,Buffers!$AE:$AE,0))="Planned",$E784&gt;0,INT($B784)&lt;=PlanDate+ROUNDUP(IF(ISNUMBER(SpikeHorizon),SpikeHorizon,INDEX(Buffers!$D:$D,MATCH($H784,Buffers!$AE:$AE,0))),0),$E784&gt;=SpikePct*INDEX(Buffers!$P:$P,MATCH($H784,Buffers!$AE:$AE,0))),"Spike","Not qualified"))))))</f>
        <v/>
      </c>
      <c r="G784" s="8" t="str">
        <f aca="false">IF($A784="","",IF(OR($F784="Past due",$F784="Due today",$F784="Spike"),$C784,0))</f>
        <v/>
      </c>
      <c r="H784" s="8" t="str">
        <f aca="false">IF($A784="","",SUBSTITUTE(SUBSTITUTE(SUBSTITUTE($A784&amp;"","~","~~"),"*","~*"),"?","~?"))</f>
        <v/>
      </c>
    </row>
    <row r="785" customFormat="false" ht="15" hidden="false" customHeight="false" outlineLevel="0" collapsed="false">
      <c r="A785" s="11"/>
      <c r="B785" s="6"/>
      <c r="C785" s="11"/>
      <c r="D785" s="11"/>
      <c r="E785" s="8" t="str">
        <f aca="false">IF($A785="","",SUMIFS($C:$C,$A:$A,$H785,$B:$B,"&gt;="&amp;INT($B785),$B:$B,"&lt;"&amp;(INT($B785)+1)))</f>
        <v/>
      </c>
      <c r="F785" s="19" t="str">
        <f aca="false">IF($A785="","",IF(ISNA(MATCH($H785,Buffers!$AE:$AE,0)),"Not on Buffers",IF(NOT(ISNUMBER($B785)),"Needs a date",IF(INT($B785)&lt;PlanDate,"Past due",IF(INT($B785)=PlanDate,"Due today",IF(AND(INDEX(Buffers!$L:$L,MATCH($H785,Buffers!$AE:$AE,0))="Planned",$E785&gt;0,INT($B785)&lt;=PlanDate+ROUNDUP(IF(ISNUMBER(SpikeHorizon),SpikeHorizon,INDEX(Buffers!$D:$D,MATCH($H785,Buffers!$AE:$AE,0))),0),$E785&gt;=SpikePct*INDEX(Buffers!$P:$P,MATCH($H785,Buffers!$AE:$AE,0))),"Spike","Not qualified"))))))</f>
        <v/>
      </c>
      <c r="G785" s="8" t="str">
        <f aca="false">IF($A785="","",IF(OR($F785="Past due",$F785="Due today",$F785="Spike"),$C785,0))</f>
        <v/>
      </c>
      <c r="H785" s="8" t="str">
        <f aca="false">IF($A785="","",SUBSTITUTE(SUBSTITUTE(SUBSTITUTE($A785&amp;"","~","~~"),"*","~*"),"?","~?"))</f>
        <v/>
      </c>
    </row>
    <row r="786" customFormat="false" ht="15" hidden="false" customHeight="false" outlineLevel="0" collapsed="false">
      <c r="A786" s="11"/>
      <c r="B786" s="6"/>
      <c r="C786" s="11"/>
      <c r="D786" s="11"/>
      <c r="E786" s="8" t="str">
        <f aca="false">IF($A786="","",SUMIFS($C:$C,$A:$A,$H786,$B:$B,"&gt;="&amp;INT($B786),$B:$B,"&lt;"&amp;(INT($B786)+1)))</f>
        <v/>
      </c>
      <c r="F786" s="19" t="str">
        <f aca="false">IF($A786="","",IF(ISNA(MATCH($H786,Buffers!$AE:$AE,0)),"Not on Buffers",IF(NOT(ISNUMBER($B786)),"Needs a date",IF(INT($B786)&lt;PlanDate,"Past due",IF(INT($B786)=PlanDate,"Due today",IF(AND(INDEX(Buffers!$L:$L,MATCH($H786,Buffers!$AE:$AE,0))="Planned",$E786&gt;0,INT($B786)&lt;=PlanDate+ROUNDUP(IF(ISNUMBER(SpikeHorizon),SpikeHorizon,INDEX(Buffers!$D:$D,MATCH($H786,Buffers!$AE:$AE,0))),0),$E786&gt;=SpikePct*INDEX(Buffers!$P:$P,MATCH($H786,Buffers!$AE:$AE,0))),"Spike","Not qualified"))))))</f>
        <v/>
      </c>
      <c r="G786" s="8" t="str">
        <f aca="false">IF($A786="","",IF(OR($F786="Past due",$F786="Due today",$F786="Spike"),$C786,0))</f>
        <v/>
      </c>
      <c r="H786" s="8" t="str">
        <f aca="false">IF($A786="","",SUBSTITUTE(SUBSTITUTE(SUBSTITUTE($A786&amp;"","~","~~"),"*","~*"),"?","~?"))</f>
        <v/>
      </c>
    </row>
    <row r="787" customFormat="false" ht="15" hidden="false" customHeight="false" outlineLevel="0" collapsed="false">
      <c r="A787" s="11"/>
      <c r="B787" s="6"/>
      <c r="C787" s="11"/>
      <c r="D787" s="11"/>
      <c r="E787" s="8" t="str">
        <f aca="false">IF($A787="","",SUMIFS($C:$C,$A:$A,$H787,$B:$B,"&gt;="&amp;INT($B787),$B:$B,"&lt;"&amp;(INT($B787)+1)))</f>
        <v/>
      </c>
      <c r="F787" s="19" t="str">
        <f aca="false">IF($A787="","",IF(ISNA(MATCH($H787,Buffers!$AE:$AE,0)),"Not on Buffers",IF(NOT(ISNUMBER($B787)),"Needs a date",IF(INT($B787)&lt;PlanDate,"Past due",IF(INT($B787)=PlanDate,"Due today",IF(AND(INDEX(Buffers!$L:$L,MATCH($H787,Buffers!$AE:$AE,0))="Planned",$E787&gt;0,INT($B787)&lt;=PlanDate+ROUNDUP(IF(ISNUMBER(SpikeHorizon),SpikeHorizon,INDEX(Buffers!$D:$D,MATCH($H787,Buffers!$AE:$AE,0))),0),$E787&gt;=SpikePct*INDEX(Buffers!$P:$P,MATCH($H787,Buffers!$AE:$AE,0))),"Spike","Not qualified"))))))</f>
        <v/>
      </c>
      <c r="G787" s="8" t="str">
        <f aca="false">IF($A787="","",IF(OR($F787="Past due",$F787="Due today",$F787="Spike"),$C787,0))</f>
        <v/>
      </c>
      <c r="H787" s="8" t="str">
        <f aca="false">IF($A787="","",SUBSTITUTE(SUBSTITUTE(SUBSTITUTE($A787&amp;"","~","~~"),"*","~*"),"?","~?"))</f>
        <v/>
      </c>
    </row>
    <row r="788" customFormat="false" ht="15" hidden="false" customHeight="false" outlineLevel="0" collapsed="false">
      <c r="A788" s="11"/>
      <c r="B788" s="6"/>
      <c r="C788" s="11"/>
      <c r="D788" s="11"/>
      <c r="E788" s="8" t="str">
        <f aca="false">IF($A788="","",SUMIFS($C:$C,$A:$A,$H788,$B:$B,"&gt;="&amp;INT($B788),$B:$B,"&lt;"&amp;(INT($B788)+1)))</f>
        <v/>
      </c>
      <c r="F788" s="19" t="str">
        <f aca="false">IF($A788="","",IF(ISNA(MATCH($H788,Buffers!$AE:$AE,0)),"Not on Buffers",IF(NOT(ISNUMBER($B788)),"Needs a date",IF(INT($B788)&lt;PlanDate,"Past due",IF(INT($B788)=PlanDate,"Due today",IF(AND(INDEX(Buffers!$L:$L,MATCH($H788,Buffers!$AE:$AE,0))="Planned",$E788&gt;0,INT($B788)&lt;=PlanDate+ROUNDUP(IF(ISNUMBER(SpikeHorizon),SpikeHorizon,INDEX(Buffers!$D:$D,MATCH($H788,Buffers!$AE:$AE,0))),0),$E788&gt;=SpikePct*INDEX(Buffers!$P:$P,MATCH($H788,Buffers!$AE:$AE,0))),"Spike","Not qualified"))))))</f>
        <v/>
      </c>
      <c r="G788" s="8" t="str">
        <f aca="false">IF($A788="","",IF(OR($F788="Past due",$F788="Due today",$F788="Spike"),$C788,0))</f>
        <v/>
      </c>
      <c r="H788" s="8" t="str">
        <f aca="false">IF($A788="","",SUBSTITUTE(SUBSTITUTE(SUBSTITUTE($A788&amp;"","~","~~"),"*","~*"),"?","~?"))</f>
        <v/>
      </c>
    </row>
    <row r="789" customFormat="false" ht="15" hidden="false" customHeight="false" outlineLevel="0" collapsed="false">
      <c r="A789" s="11"/>
      <c r="B789" s="6"/>
      <c r="C789" s="11"/>
      <c r="D789" s="11"/>
      <c r="E789" s="8" t="str">
        <f aca="false">IF($A789="","",SUMIFS($C:$C,$A:$A,$H789,$B:$B,"&gt;="&amp;INT($B789),$B:$B,"&lt;"&amp;(INT($B789)+1)))</f>
        <v/>
      </c>
      <c r="F789" s="19" t="str">
        <f aca="false">IF($A789="","",IF(ISNA(MATCH($H789,Buffers!$AE:$AE,0)),"Not on Buffers",IF(NOT(ISNUMBER($B789)),"Needs a date",IF(INT($B789)&lt;PlanDate,"Past due",IF(INT($B789)=PlanDate,"Due today",IF(AND(INDEX(Buffers!$L:$L,MATCH($H789,Buffers!$AE:$AE,0))="Planned",$E789&gt;0,INT($B789)&lt;=PlanDate+ROUNDUP(IF(ISNUMBER(SpikeHorizon),SpikeHorizon,INDEX(Buffers!$D:$D,MATCH($H789,Buffers!$AE:$AE,0))),0),$E789&gt;=SpikePct*INDEX(Buffers!$P:$P,MATCH($H789,Buffers!$AE:$AE,0))),"Spike","Not qualified"))))))</f>
        <v/>
      </c>
      <c r="G789" s="8" t="str">
        <f aca="false">IF($A789="","",IF(OR($F789="Past due",$F789="Due today",$F789="Spike"),$C789,0))</f>
        <v/>
      </c>
      <c r="H789" s="8" t="str">
        <f aca="false">IF($A789="","",SUBSTITUTE(SUBSTITUTE(SUBSTITUTE($A789&amp;"","~","~~"),"*","~*"),"?","~?"))</f>
        <v/>
      </c>
    </row>
    <row r="790" customFormat="false" ht="15" hidden="false" customHeight="false" outlineLevel="0" collapsed="false">
      <c r="A790" s="11"/>
      <c r="B790" s="6"/>
      <c r="C790" s="11"/>
      <c r="D790" s="11"/>
      <c r="E790" s="8" t="str">
        <f aca="false">IF($A790="","",SUMIFS($C:$C,$A:$A,$H790,$B:$B,"&gt;="&amp;INT($B790),$B:$B,"&lt;"&amp;(INT($B790)+1)))</f>
        <v/>
      </c>
      <c r="F790" s="19" t="str">
        <f aca="false">IF($A790="","",IF(ISNA(MATCH($H790,Buffers!$AE:$AE,0)),"Not on Buffers",IF(NOT(ISNUMBER($B790)),"Needs a date",IF(INT($B790)&lt;PlanDate,"Past due",IF(INT($B790)=PlanDate,"Due today",IF(AND(INDEX(Buffers!$L:$L,MATCH($H790,Buffers!$AE:$AE,0))="Planned",$E790&gt;0,INT($B790)&lt;=PlanDate+ROUNDUP(IF(ISNUMBER(SpikeHorizon),SpikeHorizon,INDEX(Buffers!$D:$D,MATCH($H790,Buffers!$AE:$AE,0))),0),$E790&gt;=SpikePct*INDEX(Buffers!$P:$P,MATCH($H790,Buffers!$AE:$AE,0))),"Spike","Not qualified"))))))</f>
        <v/>
      </c>
      <c r="G790" s="8" t="str">
        <f aca="false">IF($A790="","",IF(OR($F790="Past due",$F790="Due today",$F790="Spike"),$C790,0))</f>
        <v/>
      </c>
      <c r="H790" s="8" t="str">
        <f aca="false">IF($A790="","",SUBSTITUTE(SUBSTITUTE(SUBSTITUTE($A790&amp;"","~","~~"),"*","~*"),"?","~?"))</f>
        <v/>
      </c>
    </row>
    <row r="791" customFormat="false" ht="15" hidden="false" customHeight="false" outlineLevel="0" collapsed="false">
      <c r="A791" s="11"/>
      <c r="B791" s="6"/>
      <c r="C791" s="11"/>
      <c r="D791" s="11"/>
      <c r="E791" s="8" t="str">
        <f aca="false">IF($A791="","",SUMIFS($C:$C,$A:$A,$H791,$B:$B,"&gt;="&amp;INT($B791),$B:$B,"&lt;"&amp;(INT($B791)+1)))</f>
        <v/>
      </c>
      <c r="F791" s="19" t="str">
        <f aca="false">IF($A791="","",IF(ISNA(MATCH($H791,Buffers!$AE:$AE,0)),"Not on Buffers",IF(NOT(ISNUMBER($B791)),"Needs a date",IF(INT($B791)&lt;PlanDate,"Past due",IF(INT($B791)=PlanDate,"Due today",IF(AND(INDEX(Buffers!$L:$L,MATCH($H791,Buffers!$AE:$AE,0))="Planned",$E791&gt;0,INT($B791)&lt;=PlanDate+ROUNDUP(IF(ISNUMBER(SpikeHorizon),SpikeHorizon,INDEX(Buffers!$D:$D,MATCH($H791,Buffers!$AE:$AE,0))),0),$E791&gt;=SpikePct*INDEX(Buffers!$P:$P,MATCH($H791,Buffers!$AE:$AE,0))),"Spike","Not qualified"))))))</f>
        <v/>
      </c>
      <c r="G791" s="8" t="str">
        <f aca="false">IF($A791="","",IF(OR($F791="Past due",$F791="Due today",$F791="Spike"),$C791,0))</f>
        <v/>
      </c>
      <c r="H791" s="8" t="str">
        <f aca="false">IF($A791="","",SUBSTITUTE(SUBSTITUTE(SUBSTITUTE($A791&amp;"","~","~~"),"*","~*"),"?","~?"))</f>
        <v/>
      </c>
    </row>
    <row r="792" customFormat="false" ht="15" hidden="false" customHeight="false" outlineLevel="0" collapsed="false">
      <c r="A792" s="11"/>
      <c r="B792" s="6"/>
      <c r="C792" s="11"/>
      <c r="D792" s="11"/>
      <c r="E792" s="8" t="str">
        <f aca="false">IF($A792="","",SUMIFS($C:$C,$A:$A,$H792,$B:$B,"&gt;="&amp;INT($B792),$B:$B,"&lt;"&amp;(INT($B792)+1)))</f>
        <v/>
      </c>
      <c r="F792" s="19" t="str">
        <f aca="false">IF($A792="","",IF(ISNA(MATCH($H792,Buffers!$AE:$AE,0)),"Not on Buffers",IF(NOT(ISNUMBER($B792)),"Needs a date",IF(INT($B792)&lt;PlanDate,"Past due",IF(INT($B792)=PlanDate,"Due today",IF(AND(INDEX(Buffers!$L:$L,MATCH($H792,Buffers!$AE:$AE,0))="Planned",$E792&gt;0,INT($B792)&lt;=PlanDate+ROUNDUP(IF(ISNUMBER(SpikeHorizon),SpikeHorizon,INDEX(Buffers!$D:$D,MATCH($H792,Buffers!$AE:$AE,0))),0),$E792&gt;=SpikePct*INDEX(Buffers!$P:$P,MATCH($H792,Buffers!$AE:$AE,0))),"Spike","Not qualified"))))))</f>
        <v/>
      </c>
      <c r="G792" s="8" t="str">
        <f aca="false">IF($A792="","",IF(OR($F792="Past due",$F792="Due today",$F792="Spike"),$C792,0))</f>
        <v/>
      </c>
      <c r="H792" s="8" t="str">
        <f aca="false">IF($A792="","",SUBSTITUTE(SUBSTITUTE(SUBSTITUTE($A792&amp;"","~","~~"),"*","~*"),"?","~?"))</f>
        <v/>
      </c>
    </row>
    <row r="793" customFormat="false" ht="15" hidden="false" customHeight="false" outlineLevel="0" collapsed="false">
      <c r="A793" s="11"/>
      <c r="B793" s="6"/>
      <c r="C793" s="11"/>
      <c r="D793" s="11"/>
      <c r="E793" s="8" t="str">
        <f aca="false">IF($A793="","",SUMIFS($C:$C,$A:$A,$H793,$B:$B,"&gt;="&amp;INT($B793),$B:$B,"&lt;"&amp;(INT($B793)+1)))</f>
        <v/>
      </c>
      <c r="F793" s="19" t="str">
        <f aca="false">IF($A793="","",IF(ISNA(MATCH($H793,Buffers!$AE:$AE,0)),"Not on Buffers",IF(NOT(ISNUMBER($B793)),"Needs a date",IF(INT($B793)&lt;PlanDate,"Past due",IF(INT($B793)=PlanDate,"Due today",IF(AND(INDEX(Buffers!$L:$L,MATCH($H793,Buffers!$AE:$AE,0))="Planned",$E793&gt;0,INT($B793)&lt;=PlanDate+ROUNDUP(IF(ISNUMBER(SpikeHorizon),SpikeHorizon,INDEX(Buffers!$D:$D,MATCH($H793,Buffers!$AE:$AE,0))),0),$E793&gt;=SpikePct*INDEX(Buffers!$P:$P,MATCH($H793,Buffers!$AE:$AE,0))),"Spike","Not qualified"))))))</f>
        <v/>
      </c>
      <c r="G793" s="8" t="str">
        <f aca="false">IF($A793="","",IF(OR($F793="Past due",$F793="Due today",$F793="Spike"),$C793,0))</f>
        <v/>
      </c>
      <c r="H793" s="8" t="str">
        <f aca="false">IF($A793="","",SUBSTITUTE(SUBSTITUTE(SUBSTITUTE($A793&amp;"","~","~~"),"*","~*"),"?","~?"))</f>
        <v/>
      </c>
    </row>
    <row r="794" customFormat="false" ht="15" hidden="false" customHeight="false" outlineLevel="0" collapsed="false">
      <c r="A794" s="11"/>
      <c r="B794" s="6"/>
      <c r="C794" s="11"/>
      <c r="D794" s="11"/>
      <c r="E794" s="8" t="str">
        <f aca="false">IF($A794="","",SUMIFS($C:$C,$A:$A,$H794,$B:$B,"&gt;="&amp;INT($B794),$B:$B,"&lt;"&amp;(INT($B794)+1)))</f>
        <v/>
      </c>
      <c r="F794" s="19" t="str">
        <f aca="false">IF($A794="","",IF(ISNA(MATCH($H794,Buffers!$AE:$AE,0)),"Not on Buffers",IF(NOT(ISNUMBER($B794)),"Needs a date",IF(INT($B794)&lt;PlanDate,"Past due",IF(INT($B794)=PlanDate,"Due today",IF(AND(INDEX(Buffers!$L:$L,MATCH($H794,Buffers!$AE:$AE,0))="Planned",$E794&gt;0,INT($B794)&lt;=PlanDate+ROUNDUP(IF(ISNUMBER(SpikeHorizon),SpikeHorizon,INDEX(Buffers!$D:$D,MATCH($H794,Buffers!$AE:$AE,0))),0),$E794&gt;=SpikePct*INDEX(Buffers!$P:$P,MATCH($H794,Buffers!$AE:$AE,0))),"Spike","Not qualified"))))))</f>
        <v/>
      </c>
      <c r="G794" s="8" t="str">
        <f aca="false">IF($A794="","",IF(OR($F794="Past due",$F794="Due today",$F794="Spike"),$C794,0))</f>
        <v/>
      </c>
      <c r="H794" s="8" t="str">
        <f aca="false">IF($A794="","",SUBSTITUTE(SUBSTITUTE(SUBSTITUTE($A794&amp;"","~","~~"),"*","~*"),"?","~?"))</f>
        <v/>
      </c>
    </row>
    <row r="795" customFormat="false" ht="15" hidden="false" customHeight="false" outlineLevel="0" collapsed="false">
      <c r="A795" s="11"/>
      <c r="B795" s="6"/>
      <c r="C795" s="11"/>
      <c r="D795" s="11"/>
      <c r="E795" s="8" t="str">
        <f aca="false">IF($A795="","",SUMIFS($C:$C,$A:$A,$H795,$B:$B,"&gt;="&amp;INT($B795),$B:$B,"&lt;"&amp;(INT($B795)+1)))</f>
        <v/>
      </c>
      <c r="F795" s="19" t="str">
        <f aca="false">IF($A795="","",IF(ISNA(MATCH($H795,Buffers!$AE:$AE,0)),"Not on Buffers",IF(NOT(ISNUMBER($B795)),"Needs a date",IF(INT($B795)&lt;PlanDate,"Past due",IF(INT($B795)=PlanDate,"Due today",IF(AND(INDEX(Buffers!$L:$L,MATCH($H795,Buffers!$AE:$AE,0))="Planned",$E795&gt;0,INT($B795)&lt;=PlanDate+ROUNDUP(IF(ISNUMBER(SpikeHorizon),SpikeHorizon,INDEX(Buffers!$D:$D,MATCH($H795,Buffers!$AE:$AE,0))),0),$E795&gt;=SpikePct*INDEX(Buffers!$P:$P,MATCH($H795,Buffers!$AE:$AE,0))),"Spike","Not qualified"))))))</f>
        <v/>
      </c>
      <c r="G795" s="8" t="str">
        <f aca="false">IF($A795="","",IF(OR($F795="Past due",$F795="Due today",$F795="Spike"),$C795,0))</f>
        <v/>
      </c>
      <c r="H795" s="8" t="str">
        <f aca="false">IF($A795="","",SUBSTITUTE(SUBSTITUTE(SUBSTITUTE($A795&amp;"","~","~~"),"*","~*"),"?","~?"))</f>
        <v/>
      </c>
    </row>
    <row r="796" customFormat="false" ht="15" hidden="false" customHeight="false" outlineLevel="0" collapsed="false">
      <c r="A796" s="11"/>
      <c r="B796" s="6"/>
      <c r="C796" s="11"/>
      <c r="D796" s="11"/>
      <c r="E796" s="8" t="str">
        <f aca="false">IF($A796="","",SUMIFS($C:$C,$A:$A,$H796,$B:$B,"&gt;="&amp;INT($B796),$B:$B,"&lt;"&amp;(INT($B796)+1)))</f>
        <v/>
      </c>
      <c r="F796" s="19" t="str">
        <f aca="false">IF($A796="","",IF(ISNA(MATCH($H796,Buffers!$AE:$AE,0)),"Not on Buffers",IF(NOT(ISNUMBER($B796)),"Needs a date",IF(INT($B796)&lt;PlanDate,"Past due",IF(INT($B796)=PlanDate,"Due today",IF(AND(INDEX(Buffers!$L:$L,MATCH($H796,Buffers!$AE:$AE,0))="Planned",$E796&gt;0,INT($B796)&lt;=PlanDate+ROUNDUP(IF(ISNUMBER(SpikeHorizon),SpikeHorizon,INDEX(Buffers!$D:$D,MATCH($H796,Buffers!$AE:$AE,0))),0),$E796&gt;=SpikePct*INDEX(Buffers!$P:$P,MATCH($H796,Buffers!$AE:$AE,0))),"Spike","Not qualified"))))))</f>
        <v/>
      </c>
      <c r="G796" s="8" t="str">
        <f aca="false">IF($A796="","",IF(OR($F796="Past due",$F796="Due today",$F796="Spike"),$C796,0))</f>
        <v/>
      </c>
      <c r="H796" s="8" t="str">
        <f aca="false">IF($A796="","",SUBSTITUTE(SUBSTITUTE(SUBSTITUTE($A796&amp;"","~","~~"),"*","~*"),"?","~?"))</f>
        <v/>
      </c>
    </row>
    <row r="797" customFormat="false" ht="15" hidden="false" customHeight="false" outlineLevel="0" collapsed="false">
      <c r="A797" s="11"/>
      <c r="B797" s="6"/>
      <c r="C797" s="11"/>
      <c r="D797" s="11"/>
      <c r="E797" s="8" t="str">
        <f aca="false">IF($A797="","",SUMIFS($C:$C,$A:$A,$H797,$B:$B,"&gt;="&amp;INT($B797),$B:$B,"&lt;"&amp;(INT($B797)+1)))</f>
        <v/>
      </c>
      <c r="F797" s="19" t="str">
        <f aca="false">IF($A797="","",IF(ISNA(MATCH($H797,Buffers!$AE:$AE,0)),"Not on Buffers",IF(NOT(ISNUMBER($B797)),"Needs a date",IF(INT($B797)&lt;PlanDate,"Past due",IF(INT($B797)=PlanDate,"Due today",IF(AND(INDEX(Buffers!$L:$L,MATCH($H797,Buffers!$AE:$AE,0))="Planned",$E797&gt;0,INT($B797)&lt;=PlanDate+ROUNDUP(IF(ISNUMBER(SpikeHorizon),SpikeHorizon,INDEX(Buffers!$D:$D,MATCH($H797,Buffers!$AE:$AE,0))),0),$E797&gt;=SpikePct*INDEX(Buffers!$P:$P,MATCH($H797,Buffers!$AE:$AE,0))),"Spike","Not qualified"))))))</f>
        <v/>
      </c>
      <c r="G797" s="8" t="str">
        <f aca="false">IF($A797="","",IF(OR($F797="Past due",$F797="Due today",$F797="Spike"),$C797,0))</f>
        <v/>
      </c>
      <c r="H797" s="8" t="str">
        <f aca="false">IF($A797="","",SUBSTITUTE(SUBSTITUTE(SUBSTITUTE($A797&amp;"","~","~~"),"*","~*"),"?","~?"))</f>
        <v/>
      </c>
    </row>
    <row r="798" customFormat="false" ht="15" hidden="false" customHeight="false" outlineLevel="0" collapsed="false">
      <c r="A798" s="11"/>
      <c r="B798" s="6"/>
      <c r="C798" s="11"/>
      <c r="D798" s="11"/>
      <c r="E798" s="8" t="str">
        <f aca="false">IF($A798="","",SUMIFS($C:$C,$A:$A,$H798,$B:$B,"&gt;="&amp;INT($B798),$B:$B,"&lt;"&amp;(INT($B798)+1)))</f>
        <v/>
      </c>
      <c r="F798" s="19" t="str">
        <f aca="false">IF($A798="","",IF(ISNA(MATCH($H798,Buffers!$AE:$AE,0)),"Not on Buffers",IF(NOT(ISNUMBER($B798)),"Needs a date",IF(INT($B798)&lt;PlanDate,"Past due",IF(INT($B798)=PlanDate,"Due today",IF(AND(INDEX(Buffers!$L:$L,MATCH($H798,Buffers!$AE:$AE,0))="Planned",$E798&gt;0,INT($B798)&lt;=PlanDate+ROUNDUP(IF(ISNUMBER(SpikeHorizon),SpikeHorizon,INDEX(Buffers!$D:$D,MATCH($H798,Buffers!$AE:$AE,0))),0),$E798&gt;=SpikePct*INDEX(Buffers!$P:$P,MATCH($H798,Buffers!$AE:$AE,0))),"Spike","Not qualified"))))))</f>
        <v/>
      </c>
      <c r="G798" s="8" t="str">
        <f aca="false">IF($A798="","",IF(OR($F798="Past due",$F798="Due today",$F798="Spike"),$C798,0))</f>
        <v/>
      </c>
      <c r="H798" s="8" t="str">
        <f aca="false">IF($A798="","",SUBSTITUTE(SUBSTITUTE(SUBSTITUTE($A798&amp;"","~","~~"),"*","~*"),"?","~?"))</f>
        <v/>
      </c>
    </row>
    <row r="799" customFormat="false" ht="15" hidden="false" customHeight="false" outlineLevel="0" collapsed="false">
      <c r="A799" s="11"/>
      <c r="B799" s="6"/>
      <c r="C799" s="11"/>
      <c r="D799" s="11"/>
      <c r="E799" s="8" t="str">
        <f aca="false">IF($A799="","",SUMIFS($C:$C,$A:$A,$H799,$B:$B,"&gt;="&amp;INT($B799),$B:$B,"&lt;"&amp;(INT($B799)+1)))</f>
        <v/>
      </c>
      <c r="F799" s="19" t="str">
        <f aca="false">IF($A799="","",IF(ISNA(MATCH($H799,Buffers!$AE:$AE,0)),"Not on Buffers",IF(NOT(ISNUMBER($B799)),"Needs a date",IF(INT($B799)&lt;PlanDate,"Past due",IF(INT($B799)=PlanDate,"Due today",IF(AND(INDEX(Buffers!$L:$L,MATCH($H799,Buffers!$AE:$AE,0))="Planned",$E799&gt;0,INT($B799)&lt;=PlanDate+ROUNDUP(IF(ISNUMBER(SpikeHorizon),SpikeHorizon,INDEX(Buffers!$D:$D,MATCH($H799,Buffers!$AE:$AE,0))),0),$E799&gt;=SpikePct*INDEX(Buffers!$P:$P,MATCH($H799,Buffers!$AE:$AE,0))),"Spike","Not qualified"))))))</f>
        <v/>
      </c>
      <c r="G799" s="8" t="str">
        <f aca="false">IF($A799="","",IF(OR($F799="Past due",$F799="Due today",$F799="Spike"),$C799,0))</f>
        <v/>
      </c>
      <c r="H799" s="8" t="str">
        <f aca="false">IF($A799="","",SUBSTITUTE(SUBSTITUTE(SUBSTITUTE($A799&amp;"","~","~~"),"*","~*"),"?","~?"))</f>
        <v/>
      </c>
    </row>
    <row r="800" customFormat="false" ht="15" hidden="false" customHeight="false" outlineLevel="0" collapsed="false">
      <c r="A800" s="11"/>
      <c r="B800" s="6"/>
      <c r="C800" s="11"/>
      <c r="D800" s="11"/>
      <c r="E800" s="8" t="str">
        <f aca="false">IF($A800="","",SUMIFS($C:$C,$A:$A,$H800,$B:$B,"&gt;="&amp;INT($B800),$B:$B,"&lt;"&amp;(INT($B800)+1)))</f>
        <v/>
      </c>
      <c r="F800" s="19" t="str">
        <f aca="false">IF($A800="","",IF(ISNA(MATCH($H800,Buffers!$AE:$AE,0)),"Not on Buffers",IF(NOT(ISNUMBER($B800)),"Needs a date",IF(INT($B800)&lt;PlanDate,"Past due",IF(INT($B800)=PlanDate,"Due today",IF(AND(INDEX(Buffers!$L:$L,MATCH($H800,Buffers!$AE:$AE,0))="Planned",$E800&gt;0,INT($B800)&lt;=PlanDate+ROUNDUP(IF(ISNUMBER(SpikeHorizon),SpikeHorizon,INDEX(Buffers!$D:$D,MATCH($H800,Buffers!$AE:$AE,0))),0),$E800&gt;=SpikePct*INDEX(Buffers!$P:$P,MATCH($H800,Buffers!$AE:$AE,0))),"Spike","Not qualified"))))))</f>
        <v/>
      </c>
      <c r="G800" s="8" t="str">
        <f aca="false">IF($A800="","",IF(OR($F800="Past due",$F800="Due today",$F800="Spike"),$C800,0))</f>
        <v/>
      </c>
      <c r="H800" s="8" t="str">
        <f aca="false">IF($A800="","",SUBSTITUTE(SUBSTITUTE(SUBSTITUTE($A800&amp;"","~","~~"),"*","~*"),"?","~?"))</f>
        <v/>
      </c>
    </row>
    <row r="801" customFormat="false" ht="15" hidden="false" customHeight="false" outlineLevel="0" collapsed="false">
      <c r="A801" s="11"/>
      <c r="B801" s="6"/>
      <c r="C801" s="11"/>
      <c r="D801" s="11"/>
      <c r="E801" s="8" t="str">
        <f aca="false">IF($A801="","",SUMIFS($C:$C,$A:$A,$H801,$B:$B,"&gt;="&amp;INT($B801),$B:$B,"&lt;"&amp;(INT($B801)+1)))</f>
        <v/>
      </c>
      <c r="F801" s="19" t="str">
        <f aca="false">IF($A801="","",IF(ISNA(MATCH($H801,Buffers!$AE:$AE,0)),"Not on Buffers",IF(NOT(ISNUMBER($B801)),"Needs a date",IF(INT($B801)&lt;PlanDate,"Past due",IF(INT($B801)=PlanDate,"Due today",IF(AND(INDEX(Buffers!$L:$L,MATCH($H801,Buffers!$AE:$AE,0))="Planned",$E801&gt;0,INT($B801)&lt;=PlanDate+ROUNDUP(IF(ISNUMBER(SpikeHorizon),SpikeHorizon,INDEX(Buffers!$D:$D,MATCH($H801,Buffers!$AE:$AE,0))),0),$E801&gt;=SpikePct*INDEX(Buffers!$P:$P,MATCH($H801,Buffers!$AE:$AE,0))),"Spike","Not qualified"))))))</f>
        <v/>
      </c>
      <c r="G801" s="8" t="str">
        <f aca="false">IF($A801="","",IF(OR($F801="Past due",$F801="Due today",$F801="Spike"),$C801,0))</f>
        <v/>
      </c>
      <c r="H801" s="8" t="str">
        <f aca="false">IF($A801="","",SUBSTITUTE(SUBSTITUTE(SUBSTITUTE($A801&amp;"","~","~~"),"*","~*"),"?","~?"))</f>
        <v/>
      </c>
    </row>
    <row r="802" customFormat="false" ht="15" hidden="false" customHeight="false" outlineLevel="0" collapsed="false">
      <c r="A802" s="11"/>
      <c r="B802" s="6"/>
      <c r="C802" s="11"/>
      <c r="D802" s="11"/>
      <c r="E802" s="8" t="str">
        <f aca="false">IF($A802="","",SUMIFS($C:$C,$A:$A,$H802,$B:$B,"&gt;="&amp;INT($B802),$B:$B,"&lt;"&amp;(INT($B802)+1)))</f>
        <v/>
      </c>
      <c r="F802" s="19" t="str">
        <f aca="false">IF($A802="","",IF(ISNA(MATCH($H802,Buffers!$AE:$AE,0)),"Not on Buffers",IF(NOT(ISNUMBER($B802)),"Needs a date",IF(INT($B802)&lt;PlanDate,"Past due",IF(INT($B802)=PlanDate,"Due today",IF(AND(INDEX(Buffers!$L:$L,MATCH($H802,Buffers!$AE:$AE,0))="Planned",$E802&gt;0,INT($B802)&lt;=PlanDate+ROUNDUP(IF(ISNUMBER(SpikeHorizon),SpikeHorizon,INDEX(Buffers!$D:$D,MATCH($H802,Buffers!$AE:$AE,0))),0),$E802&gt;=SpikePct*INDEX(Buffers!$P:$P,MATCH($H802,Buffers!$AE:$AE,0))),"Spike","Not qualified"))))))</f>
        <v/>
      </c>
      <c r="G802" s="8" t="str">
        <f aca="false">IF($A802="","",IF(OR($F802="Past due",$F802="Due today",$F802="Spike"),$C802,0))</f>
        <v/>
      </c>
      <c r="H802" s="8" t="str">
        <f aca="false">IF($A802="","",SUBSTITUTE(SUBSTITUTE(SUBSTITUTE($A802&amp;"","~","~~"),"*","~*"),"?","~?"))</f>
        <v/>
      </c>
    </row>
    <row r="803" customFormat="false" ht="15" hidden="false" customHeight="false" outlineLevel="0" collapsed="false">
      <c r="A803" s="11"/>
      <c r="B803" s="6"/>
      <c r="C803" s="11"/>
      <c r="D803" s="11"/>
      <c r="E803" s="8" t="str">
        <f aca="false">IF($A803="","",SUMIFS($C:$C,$A:$A,$H803,$B:$B,"&gt;="&amp;INT($B803),$B:$B,"&lt;"&amp;(INT($B803)+1)))</f>
        <v/>
      </c>
      <c r="F803" s="19" t="str">
        <f aca="false">IF($A803="","",IF(ISNA(MATCH($H803,Buffers!$AE:$AE,0)),"Not on Buffers",IF(NOT(ISNUMBER($B803)),"Needs a date",IF(INT($B803)&lt;PlanDate,"Past due",IF(INT($B803)=PlanDate,"Due today",IF(AND(INDEX(Buffers!$L:$L,MATCH($H803,Buffers!$AE:$AE,0))="Planned",$E803&gt;0,INT($B803)&lt;=PlanDate+ROUNDUP(IF(ISNUMBER(SpikeHorizon),SpikeHorizon,INDEX(Buffers!$D:$D,MATCH($H803,Buffers!$AE:$AE,0))),0),$E803&gt;=SpikePct*INDEX(Buffers!$P:$P,MATCH($H803,Buffers!$AE:$AE,0))),"Spike","Not qualified"))))))</f>
        <v/>
      </c>
      <c r="G803" s="8" t="str">
        <f aca="false">IF($A803="","",IF(OR($F803="Past due",$F803="Due today",$F803="Spike"),$C803,0))</f>
        <v/>
      </c>
      <c r="H803" s="8" t="str">
        <f aca="false">IF($A803="","",SUBSTITUTE(SUBSTITUTE(SUBSTITUTE($A803&amp;"","~","~~"),"*","~*"),"?","~?"))</f>
        <v/>
      </c>
    </row>
    <row r="804" customFormat="false" ht="15" hidden="false" customHeight="false" outlineLevel="0" collapsed="false">
      <c r="A804" s="11"/>
      <c r="B804" s="6"/>
      <c r="C804" s="11"/>
      <c r="D804" s="11"/>
      <c r="E804" s="8" t="str">
        <f aca="false">IF($A804="","",SUMIFS($C:$C,$A:$A,$H804,$B:$B,"&gt;="&amp;INT($B804),$B:$B,"&lt;"&amp;(INT($B804)+1)))</f>
        <v/>
      </c>
      <c r="F804" s="19" t="str">
        <f aca="false">IF($A804="","",IF(ISNA(MATCH($H804,Buffers!$AE:$AE,0)),"Not on Buffers",IF(NOT(ISNUMBER($B804)),"Needs a date",IF(INT($B804)&lt;PlanDate,"Past due",IF(INT($B804)=PlanDate,"Due today",IF(AND(INDEX(Buffers!$L:$L,MATCH($H804,Buffers!$AE:$AE,0))="Planned",$E804&gt;0,INT($B804)&lt;=PlanDate+ROUNDUP(IF(ISNUMBER(SpikeHorizon),SpikeHorizon,INDEX(Buffers!$D:$D,MATCH($H804,Buffers!$AE:$AE,0))),0),$E804&gt;=SpikePct*INDEX(Buffers!$P:$P,MATCH($H804,Buffers!$AE:$AE,0))),"Spike","Not qualified"))))))</f>
        <v/>
      </c>
      <c r="G804" s="8" t="str">
        <f aca="false">IF($A804="","",IF(OR($F804="Past due",$F804="Due today",$F804="Spike"),$C804,0))</f>
        <v/>
      </c>
      <c r="H804" s="8" t="str">
        <f aca="false">IF($A804="","",SUBSTITUTE(SUBSTITUTE(SUBSTITUTE($A804&amp;"","~","~~"),"*","~*"),"?","~?"))</f>
        <v/>
      </c>
    </row>
    <row r="805" customFormat="false" ht="15" hidden="false" customHeight="false" outlineLevel="0" collapsed="false">
      <c r="A805" s="11"/>
      <c r="B805" s="6"/>
      <c r="C805" s="11"/>
      <c r="D805" s="11"/>
      <c r="E805" s="8" t="str">
        <f aca="false">IF($A805="","",SUMIFS($C:$C,$A:$A,$H805,$B:$B,"&gt;="&amp;INT($B805),$B:$B,"&lt;"&amp;(INT($B805)+1)))</f>
        <v/>
      </c>
      <c r="F805" s="19" t="str">
        <f aca="false">IF($A805="","",IF(ISNA(MATCH($H805,Buffers!$AE:$AE,0)),"Not on Buffers",IF(NOT(ISNUMBER($B805)),"Needs a date",IF(INT($B805)&lt;PlanDate,"Past due",IF(INT($B805)=PlanDate,"Due today",IF(AND(INDEX(Buffers!$L:$L,MATCH($H805,Buffers!$AE:$AE,0))="Planned",$E805&gt;0,INT($B805)&lt;=PlanDate+ROUNDUP(IF(ISNUMBER(SpikeHorizon),SpikeHorizon,INDEX(Buffers!$D:$D,MATCH($H805,Buffers!$AE:$AE,0))),0),$E805&gt;=SpikePct*INDEX(Buffers!$P:$P,MATCH($H805,Buffers!$AE:$AE,0))),"Spike","Not qualified"))))))</f>
        <v/>
      </c>
      <c r="G805" s="8" t="str">
        <f aca="false">IF($A805="","",IF(OR($F805="Past due",$F805="Due today",$F805="Spike"),$C805,0))</f>
        <v/>
      </c>
      <c r="H805" s="8" t="str">
        <f aca="false">IF($A805="","",SUBSTITUTE(SUBSTITUTE(SUBSTITUTE($A805&amp;"","~","~~"),"*","~*"),"?","~?"))</f>
        <v/>
      </c>
    </row>
    <row r="806" customFormat="false" ht="15" hidden="false" customHeight="false" outlineLevel="0" collapsed="false">
      <c r="A806" s="11"/>
      <c r="B806" s="6"/>
      <c r="C806" s="11"/>
      <c r="D806" s="11"/>
      <c r="E806" s="8" t="str">
        <f aca="false">IF($A806="","",SUMIFS($C:$C,$A:$A,$H806,$B:$B,"&gt;="&amp;INT($B806),$B:$B,"&lt;"&amp;(INT($B806)+1)))</f>
        <v/>
      </c>
      <c r="F806" s="19" t="str">
        <f aca="false">IF($A806="","",IF(ISNA(MATCH($H806,Buffers!$AE:$AE,0)),"Not on Buffers",IF(NOT(ISNUMBER($B806)),"Needs a date",IF(INT($B806)&lt;PlanDate,"Past due",IF(INT($B806)=PlanDate,"Due today",IF(AND(INDEX(Buffers!$L:$L,MATCH($H806,Buffers!$AE:$AE,0))="Planned",$E806&gt;0,INT($B806)&lt;=PlanDate+ROUNDUP(IF(ISNUMBER(SpikeHorizon),SpikeHorizon,INDEX(Buffers!$D:$D,MATCH($H806,Buffers!$AE:$AE,0))),0),$E806&gt;=SpikePct*INDEX(Buffers!$P:$P,MATCH($H806,Buffers!$AE:$AE,0))),"Spike","Not qualified"))))))</f>
        <v/>
      </c>
      <c r="G806" s="8" t="str">
        <f aca="false">IF($A806="","",IF(OR($F806="Past due",$F806="Due today",$F806="Spike"),$C806,0))</f>
        <v/>
      </c>
      <c r="H806" s="8" t="str">
        <f aca="false">IF($A806="","",SUBSTITUTE(SUBSTITUTE(SUBSTITUTE($A806&amp;"","~","~~"),"*","~*"),"?","~?"))</f>
        <v/>
      </c>
    </row>
    <row r="807" customFormat="false" ht="15" hidden="false" customHeight="false" outlineLevel="0" collapsed="false">
      <c r="A807" s="11"/>
      <c r="B807" s="6"/>
      <c r="C807" s="11"/>
      <c r="D807" s="11"/>
      <c r="E807" s="8" t="str">
        <f aca="false">IF($A807="","",SUMIFS($C:$C,$A:$A,$H807,$B:$B,"&gt;="&amp;INT($B807),$B:$B,"&lt;"&amp;(INT($B807)+1)))</f>
        <v/>
      </c>
      <c r="F807" s="19" t="str">
        <f aca="false">IF($A807="","",IF(ISNA(MATCH($H807,Buffers!$AE:$AE,0)),"Not on Buffers",IF(NOT(ISNUMBER($B807)),"Needs a date",IF(INT($B807)&lt;PlanDate,"Past due",IF(INT($B807)=PlanDate,"Due today",IF(AND(INDEX(Buffers!$L:$L,MATCH($H807,Buffers!$AE:$AE,0))="Planned",$E807&gt;0,INT($B807)&lt;=PlanDate+ROUNDUP(IF(ISNUMBER(SpikeHorizon),SpikeHorizon,INDEX(Buffers!$D:$D,MATCH($H807,Buffers!$AE:$AE,0))),0),$E807&gt;=SpikePct*INDEX(Buffers!$P:$P,MATCH($H807,Buffers!$AE:$AE,0))),"Spike","Not qualified"))))))</f>
        <v/>
      </c>
      <c r="G807" s="8" t="str">
        <f aca="false">IF($A807="","",IF(OR($F807="Past due",$F807="Due today",$F807="Spike"),$C807,0))</f>
        <v/>
      </c>
      <c r="H807" s="8" t="str">
        <f aca="false">IF($A807="","",SUBSTITUTE(SUBSTITUTE(SUBSTITUTE($A807&amp;"","~","~~"),"*","~*"),"?","~?"))</f>
        <v/>
      </c>
    </row>
    <row r="808" customFormat="false" ht="15" hidden="false" customHeight="false" outlineLevel="0" collapsed="false">
      <c r="A808" s="11"/>
      <c r="B808" s="6"/>
      <c r="C808" s="11"/>
      <c r="D808" s="11"/>
      <c r="E808" s="8" t="str">
        <f aca="false">IF($A808="","",SUMIFS($C:$C,$A:$A,$H808,$B:$B,"&gt;="&amp;INT($B808),$B:$B,"&lt;"&amp;(INT($B808)+1)))</f>
        <v/>
      </c>
      <c r="F808" s="19" t="str">
        <f aca="false">IF($A808="","",IF(ISNA(MATCH($H808,Buffers!$AE:$AE,0)),"Not on Buffers",IF(NOT(ISNUMBER($B808)),"Needs a date",IF(INT($B808)&lt;PlanDate,"Past due",IF(INT($B808)=PlanDate,"Due today",IF(AND(INDEX(Buffers!$L:$L,MATCH($H808,Buffers!$AE:$AE,0))="Planned",$E808&gt;0,INT($B808)&lt;=PlanDate+ROUNDUP(IF(ISNUMBER(SpikeHorizon),SpikeHorizon,INDEX(Buffers!$D:$D,MATCH($H808,Buffers!$AE:$AE,0))),0),$E808&gt;=SpikePct*INDEX(Buffers!$P:$P,MATCH($H808,Buffers!$AE:$AE,0))),"Spike","Not qualified"))))))</f>
        <v/>
      </c>
      <c r="G808" s="8" t="str">
        <f aca="false">IF($A808="","",IF(OR($F808="Past due",$F808="Due today",$F808="Spike"),$C808,0))</f>
        <v/>
      </c>
      <c r="H808" s="8" t="str">
        <f aca="false">IF($A808="","",SUBSTITUTE(SUBSTITUTE(SUBSTITUTE($A808&amp;"","~","~~"),"*","~*"),"?","~?"))</f>
        <v/>
      </c>
    </row>
    <row r="809" customFormat="false" ht="15" hidden="false" customHeight="false" outlineLevel="0" collapsed="false">
      <c r="A809" s="11"/>
      <c r="B809" s="6"/>
      <c r="C809" s="11"/>
      <c r="D809" s="11"/>
      <c r="E809" s="8" t="str">
        <f aca="false">IF($A809="","",SUMIFS($C:$C,$A:$A,$H809,$B:$B,"&gt;="&amp;INT($B809),$B:$B,"&lt;"&amp;(INT($B809)+1)))</f>
        <v/>
      </c>
      <c r="F809" s="19" t="str">
        <f aca="false">IF($A809="","",IF(ISNA(MATCH($H809,Buffers!$AE:$AE,0)),"Not on Buffers",IF(NOT(ISNUMBER($B809)),"Needs a date",IF(INT($B809)&lt;PlanDate,"Past due",IF(INT($B809)=PlanDate,"Due today",IF(AND(INDEX(Buffers!$L:$L,MATCH($H809,Buffers!$AE:$AE,0))="Planned",$E809&gt;0,INT($B809)&lt;=PlanDate+ROUNDUP(IF(ISNUMBER(SpikeHorizon),SpikeHorizon,INDEX(Buffers!$D:$D,MATCH($H809,Buffers!$AE:$AE,0))),0),$E809&gt;=SpikePct*INDEX(Buffers!$P:$P,MATCH($H809,Buffers!$AE:$AE,0))),"Spike","Not qualified"))))))</f>
        <v/>
      </c>
      <c r="G809" s="8" t="str">
        <f aca="false">IF($A809="","",IF(OR($F809="Past due",$F809="Due today",$F809="Spike"),$C809,0))</f>
        <v/>
      </c>
      <c r="H809" s="8" t="str">
        <f aca="false">IF($A809="","",SUBSTITUTE(SUBSTITUTE(SUBSTITUTE($A809&amp;"","~","~~"),"*","~*"),"?","~?"))</f>
        <v/>
      </c>
    </row>
    <row r="810" customFormat="false" ht="15" hidden="false" customHeight="false" outlineLevel="0" collapsed="false">
      <c r="A810" s="11"/>
      <c r="B810" s="6"/>
      <c r="C810" s="11"/>
      <c r="D810" s="11"/>
      <c r="E810" s="8" t="str">
        <f aca="false">IF($A810="","",SUMIFS($C:$C,$A:$A,$H810,$B:$B,"&gt;="&amp;INT($B810),$B:$B,"&lt;"&amp;(INT($B810)+1)))</f>
        <v/>
      </c>
      <c r="F810" s="19" t="str">
        <f aca="false">IF($A810="","",IF(ISNA(MATCH($H810,Buffers!$AE:$AE,0)),"Not on Buffers",IF(NOT(ISNUMBER($B810)),"Needs a date",IF(INT($B810)&lt;PlanDate,"Past due",IF(INT($B810)=PlanDate,"Due today",IF(AND(INDEX(Buffers!$L:$L,MATCH($H810,Buffers!$AE:$AE,0))="Planned",$E810&gt;0,INT($B810)&lt;=PlanDate+ROUNDUP(IF(ISNUMBER(SpikeHorizon),SpikeHorizon,INDEX(Buffers!$D:$D,MATCH($H810,Buffers!$AE:$AE,0))),0),$E810&gt;=SpikePct*INDEX(Buffers!$P:$P,MATCH($H810,Buffers!$AE:$AE,0))),"Spike","Not qualified"))))))</f>
        <v/>
      </c>
      <c r="G810" s="8" t="str">
        <f aca="false">IF($A810="","",IF(OR($F810="Past due",$F810="Due today",$F810="Spike"),$C810,0))</f>
        <v/>
      </c>
      <c r="H810" s="8" t="str">
        <f aca="false">IF($A810="","",SUBSTITUTE(SUBSTITUTE(SUBSTITUTE($A810&amp;"","~","~~"),"*","~*"),"?","~?"))</f>
        <v/>
      </c>
    </row>
    <row r="811" customFormat="false" ht="15" hidden="false" customHeight="false" outlineLevel="0" collapsed="false">
      <c r="A811" s="11"/>
      <c r="B811" s="6"/>
      <c r="C811" s="11"/>
      <c r="D811" s="11"/>
      <c r="E811" s="8" t="str">
        <f aca="false">IF($A811="","",SUMIFS($C:$C,$A:$A,$H811,$B:$B,"&gt;="&amp;INT($B811),$B:$B,"&lt;"&amp;(INT($B811)+1)))</f>
        <v/>
      </c>
      <c r="F811" s="19" t="str">
        <f aca="false">IF($A811="","",IF(ISNA(MATCH($H811,Buffers!$AE:$AE,0)),"Not on Buffers",IF(NOT(ISNUMBER($B811)),"Needs a date",IF(INT($B811)&lt;PlanDate,"Past due",IF(INT($B811)=PlanDate,"Due today",IF(AND(INDEX(Buffers!$L:$L,MATCH($H811,Buffers!$AE:$AE,0))="Planned",$E811&gt;0,INT($B811)&lt;=PlanDate+ROUNDUP(IF(ISNUMBER(SpikeHorizon),SpikeHorizon,INDEX(Buffers!$D:$D,MATCH($H811,Buffers!$AE:$AE,0))),0),$E811&gt;=SpikePct*INDEX(Buffers!$P:$P,MATCH($H811,Buffers!$AE:$AE,0))),"Spike","Not qualified"))))))</f>
        <v/>
      </c>
      <c r="G811" s="8" t="str">
        <f aca="false">IF($A811="","",IF(OR($F811="Past due",$F811="Due today",$F811="Spike"),$C811,0))</f>
        <v/>
      </c>
      <c r="H811" s="8" t="str">
        <f aca="false">IF($A811="","",SUBSTITUTE(SUBSTITUTE(SUBSTITUTE($A811&amp;"","~","~~"),"*","~*"),"?","~?"))</f>
        <v/>
      </c>
    </row>
    <row r="812" customFormat="false" ht="15" hidden="false" customHeight="false" outlineLevel="0" collapsed="false">
      <c r="A812" s="11"/>
      <c r="B812" s="6"/>
      <c r="C812" s="11"/>
      <c r="D812" s="11"/>
      <c r="E812" s="8" t="str">
        <f aca="false">IF($A812="","",SUMIFS($C:$C,$A:$A,$H812,$B:$B,"&gt;="&amp;INT($B812),$B:$B,"&lt;"&amp;(INT($B812)+1)))</f>
        <v/>
      </c>
      <c r="F812" s="19" t="str">
        <f aca="false">IF($A812="","",IF(ISNA(MATCH($H812,Buffers!$AE:$AE,0)),"Not on Buffers",IF(NOT(ISNUMBER($B812)),"Needs a date",IF(INT($B812)&lt;PlanDate,"Past due",IF(INT($B812)=PlanDate,"Due today",IF(AND(INDEX(Buffers!$L:$L,MATCH($H812,Buffers!$AE:$AE,0))="Planned",$E812&gt;0,INT($B812)&lt;=PlanDate+ROUNDUP(IF(ISNUMBER(SpikeHorizon),SpikeHorizon,INDEX(Buffers!$D:$D,MATCH($H812,Buffers!$AE:$AE,0))),0),$E812&gt;=SpikePct*INDEX(Buffers!$P:$P,MATCH($H812,Buffers!$AE:$AE,0))),"Spike","Not qualified"))))))</f>
        <v/>
      </c>
      <c r="G812" s="8" t="str">
        <f aca="false">IF($A812="","",IF(OR($F812="Past due",$F812="Due today",$F812="Spike"),$C812,0))</f>
        <v/>
      </c>
      <c r="H812" s="8" t="str">
        <f aca="false">IF($A812="","",SUBSTITUTE(SUBSTITUTE(SUBSTITUTE($A812&amp;"","~","~~"),"*","~*"),"?","~?"))</f>
        <v/>
      </c>
    </row>
    <row r="813" customFormat="false" ht="15" hidden="false" customHeight="false" outlineLevel="0" collapsed="false">
      <c r="A813" s="11"/>
      <c r="B813" s="6"/>
      <c r="C813" s="11"/>
      <c r="D813" s="11"/>
      <c r="E813" s="8" t="str">
        <f aca="false">IF($A813="","",SUMIFS($C:$C,$A:$A,$H813,$B:$B,"&gt;="&amp;INT($B813),$B:$B,"&lt;"&amp;(INT($B813)+1)))</f>
        <v/>
      </c>
      <c r="F813" s="19" t="str">
        <f aca="false">IF($A813="","",IF(ISNA(MATCH($H813,Buffers!$AE:$AE,0)),"Not on Buffers",IF(NOT(ISNUMBER($B813)),"Needs a date",IF(INT($B813)&lt;PlanDate,"Past due",IF(INT($B813)=PlanDate,"Due today",IF(AND(INDEX(Buffers!$L:$L,MATCH($H813,Buffers!$AE:$AE,0))="Planned",$E813&gt;0,INT($B813)&lt;=PlanDate+ROUNDUP(IF(ISNUMBER(SpikeHorizon),SpikeHorizon,INDEX(Buffers!$D:$D,MATCH($H813,Buffers!$AE:$AE,0))),0),$E813&gt;=SpikePct*INDEX(Buffers!$P:$P,MATCH($H813,Buffers!$AE:$AE,0))),"Spike","Not qualified"))))))</f>
        <v/>
      </c>
      <c r="G813" s="8" t="str">
        <f aca="false">IF($A813="","",IF(OR($F813="Past due",$F813="Due today",$F813="Spike"),$C813,0))</f>
        <v/>
      </c>
      <c r="H813" s="8" t="str">
        <f aca="false">IF($A813="","",SUBSTITUTE(SUBSTITUTE(SUBSTITUTE($A813&amp;"","~","~~"),"*","~*"),"?","~?"))</f>
        <v/>
      </c>
    </row>
    <row r="814" customFormat="false" ht="15" hidden="false" customHeight="false" outlineLevel="0" collapsed="false">
      <c r="A814" s="11"/>
      <c r="B814" s="6"/>
      <c r="C814" s="11"/>
      <c r="D814" s="11"/>
      <c r="E814" s="8" t="str">
        <f aca="false">IF($A814="","",SUMIFS($C:$C,$A:$A,$H814,$B:$B,"&gt;="&amp;INT($B814),$B:$B,"&lt;"&amp;(INT($B814)+1)))</f>
        <v/>
      </c>
      <c r="F814" s="19" t="str">
        <f aca="false">IF($A814="","",IF(ISNA(MATCH($H814,Buffers!$AE:$AE,0)),"Not on Buffers",IF(NOT(ISNUMBER($B814)),"Needs a date",IF(INT($B814)&lt;PlanDate,"Past due",IF(INT($B814)=PlanDate,"Due today",IF(AND(INDEX(Buffers!$L:$L,MATCH($H814,Buffers!$AE:$AE,0))="Planned",$E814&gt;0,INT($B814)&lt;=PlanDate+ROUNDUP(IF(ISNUMBER(SpikeHorizon),SpikeHorizon,INDEX(Buffers!$D:$D,MATCH($H814,Buffers!$AE:$AE,0))),0),$E814&gt;=SpikePct*INDEX(Buffers!$P:$P,MATCH($H814,Buffers!$AE:$AE,0))),"Spike","Not qualified"))))))</f>
        <v/>
      </c>
      <c r="G814" s="8" t="str">
        <f aca="false">IF($A814="","",IF(OR($F814="Past due",$F814="Due today",$F814="Spike"),$C814,0))</f>
        <v/>
      </c>
      <c r="H814" s="8" t="str">
        <f aca="false">IF($A814="","",SUBSTITUTE(SUBSTITUTE(SUBSTITUTE($A814&amp;"","~","~~"),"*","~*"),"?","~?"))</f>
        <v/>
      </c>
    </row>
    <row r="815" customFormat="false" ht="15" hidden="false" customHeight="false" outlineLevel="0" collapsed="false">
      <c r="A815" s="11"/>
      <c r="B815" s="6"/>
      <c r="C815" s="11"/>
      <c r="D815" s="11"/>
      <c r="E815" s="8" t="str">
        <f aca="false">IF($A815="","",SUMIFS($C:$C,$A:$A,$H815,$B:$B,"&gt;="&amp;INT($B815),$B:$B,"&lt;"&amp;(INT($B815)+1)))</f>
        <v/>
      </c>
      <c r="F815" s="19" t="str">
        <f aca="false">IF($A815="","",IF(ISNA(MATCH($H815,Buffers!$AE:$AE,0)),"Not on Buffers",IF(NOT(ISNUMBER($B815)),"Needs a date",IF(INT($B815)&lt;PlanDate,"Past due",IF(INT($B815)=PlanDate,"Due today",IF(AND(INDEX(Buffers!$L:$L,MATCH($H815,Buffers!$AE:$AE,0))="Planned",$E815&gt;0,INT($B815)&lt;=PlanDate+ROUNDUP(IF(ISNUMBER(SpikeHorizon),SpikeHorizon,INDEX(Buffers!$D:$D,MATCH($H815,Buffers!$AE:$AE,0))),0),$E815&gt;=SpikePct*INDEX(Buffers!$P:$P,MATCH($H815,Buffers!$AE:$AE,0))),"Spike","Not qualified"))))))</f>
        <v/>
      </c>
      <c r="G815" s="8" t="str">
        <f aca="false">IF($A815="","",IF(OR($F815="Past due",$F815="Due today",$F815="Spike"),$C815,0))</f>
        <v/>
      </c>
      <c r="H815" s="8" t="str">
        <f aca="false">IF($A815="","",SUBSTITUTE(SUBSTITUTE(SUBSTITUTE($A815&amp;"","~","~~"),"*","~*"),"?","~?"))</f>
        <v/>
      </c>
    </row>
    <row r="816" customFormat="false" ht="15" hidden="false" customHeight="false" outlineLevel="0" collapsed="false">
      <c r="A816" s="11"/>
      <c r="B816" s="6"/>
      <c r="C816" s="11"/>
      <c r="D816" s="11"/>
      <c r="E816" s="8" t="str">
        <f aca="false">IF($A816="","",SUMIFS($C:$C,$A:$A,$H816,$B:$B,"&gt;="&amp;INT($B816),$B:$B,"&lt;"&amp;(INT($B816)+1)))</f>
        <v/>
      </c>
      <c r="F816" s="19" t="str">
        <f aca="false">IF($A816="","",IF(ISNA(MATCH($H816,Buffers!$AE:$AE,0)),"Not on Buffers",IF(NOT(ISNUMBER($B816)),"Needs a date",IF(INT($B816)&lt;PlanDate,"Past due",IF(INT($B816)=PlanDate,"Due today",IF(AND(INDEX(Buffers!$L:$L,MATCH($H816,Buffers!$AE:$AE,0))="Planned",$E816&gt;0,INT($B816)&lt;=PlanDate+ROUNDUP(IF(ISNUMBER(SpikeHorizon),SpikeHorizon,INDEX(Buffers!$D:$D,MATCH($H816,Buffers!$AE:$AE,0))),0),$E816&gt;=SpikePct*INDEX(Buffers!$P:$P,MATCH($H816,Buffers!$AE:$AE,0))),"Spike","Not qualified"))))))</f>
        <v/>
      </c>
      <c r="G816" s="8" t="str">
        <f aca="false">IF($A816="","",IF(OR($F816="Past due",$F816="Due today",$F816="Spike"),$C816,0))</f>
        <v/>
      </c>
      <c r="H816" s="8" t="str">
        <f aca="false">IF($A816="","",SUBSTITUTE(SUBSTITUTE(SUBSTITUTE($A816&amp;"","~","~~"),"*","~*"),"?","~?"))</f>
        <v/>
      </c>
    </row>
    <row r="817" customFormat="false" ht="15" hidden="false" customHeight="false" outlineLevel="0" collapsed="false">
      <c r="A817" s="11"/>
      <c r="B817" s="6"/>
      <c r="C817" s="11"/>
      <c r="D817" s="11"/>
      <c r="E817" s="8" t="str">
        <f aca="false">IF($A817="","",SUMIFS($C:$C,$A:$A,$H817,$B:$B,"&gt;="&amp;INT($B817),$B:$B,"&lt;"&amp;(INT($B817)+1)))</f>
        <v/>
      </c>
      <c r="F817" s="19" t="str">
        <f aca="false">IF($A817="","",IF(ISNA(MATCH($H817,Buffers!$AE:$AE,0)),"Not on Buffers",IF(NOT(ISNUMBER($B817)),"Needs a date",IF(INT($B817)&lt;PlanDate,"Past due",IF(INT($B817)=PlanDate,"Due today",IF(AND(INDEX(Buffers!$L:$L,MATCH($H817,Buffers!$AE:$AE,0))="Planned",$E817&gt;0,INT($B817)&lt;=PlanDate+ROUNDUP(IF(ISNUMBER(SpikeHorizon),SpikeHorizon,INDEX(Buffers!$D:$D,MATCH($H817,Buffers!$AE:$AE,0))),0),$E817&gt;=SpikePct*INDEX(Buffers!$P:$P,MATCH($H817,Buffers!$AE:$AE,0))),"Spike","Not qualified"))))))</f>
        <v/>
      </c>
      <c r="G817" s="8" t="str">
        <f aca="false">IF($A817="","",IF(OR($F817="Past due",$F817="Due today",$F817="Spike"),$C817,0))</f>
        <v/>
      </c>
      <c r="H817" s="8" t="str">
        <f aca="false">IF($A817="","",SUBSTITUTE(SUBSTITUTE(SUBSTITUTE($A817&amp;"","~","~~"),"*","~*"),"?","~?"))</f>
        <v/>
      </c>
    </row>
    <row r="818" customFormat="false" ht="15" hidden="false" customHeight="false" outlineLevel="0" collapsed="false">
      <c r="A818" s="11"/>
      <c r="B818" s="6"/>
      <c r="C818" s="11"/>
      <c r="D818" s="11"/>
      <c r="E818" s="8" t="str">
        <f aca="false">IF($A818="","",SUMIFS($C:$C,$A:$A,$H818,$B:$B,"&gt;="&amp;INT($B818),$B:$B,"&lt;"&amp;(INT($B818)+1)))</f>
        <v/>
      </c>
      <c r="F818" s="19" t="str">
        <f aca="false">IF($A818="","",IF(ISNA(MATCH($H818,Buffers!$AE:$AE,0)),"Not on Buffers",IF(NOT(ISNUMBER($B818)),"Needs a date",IF(INT($B818)&lt;PlanDate,"Past due",IF(INT($B818)=PlanDate,"Due today",IF(AND(INDEX(Buffers!$L:$L,MATCH($H818,Buffers!$AE:$AE,0))="Planned",$E818&gt;0,INT($B818)&lt;=PlanDate+ROUNDUP(IF(ISNUMBER(SpikeHorizon),SpikeHorizon,INDEX(Buffers!$D:$D,MATCH($H818,Buffers!$AE:$AE,0))),0),$E818&gt;=SpikePct*INDEX(Buffers!$P:$P,MATCH($H818,Buffers!$AE:$AE,0))),"Spike","Not qualified"))))))</f>
        <v/>
      </c>
      <c r="G818" s="8" t="str">
        <f aca="false">IF($A818="","",IF(OR($F818="Past due",$F818="Due today",$F818="Spike"),$C818,0))</f>
        <v/>
      </c>
      <c r="H818" s="8" t="str">
        <f aca="false">IF($A818="","",SUBSTITUTE(SUBSTITUTE(SUBSTITUTE($A818&amp;"","~","~~"),"*","~*"),"?","~?"))</f>
        <v/>
      </c>
    </row>
    <row r="819" customFormat="false" ht="15" hidden="false" customHeight="false" outlineLevel="0" collapsed="false">
      <c r="A819" s="11"/>
      <c r="B819" s="6"/>
      <c r="C819" s="11"/>
      <c r="D819" s="11"/>
      <c r="E819" s="8" t="str">
        <f aca="false">IF($A819="","",SUMIFS($C:$C,$A:$A,$H819,$B:$B,"&gt;="&amp;INT($B819),$B:$B,"&lt;"&amp;(INT($B819)+1)))</f>
        <v/>
      </c>
      <c r="F819" s="19" t="str">
        <f aca="false">IF($A819="","",IF(ISNA(MATCH($H819,Buffers!$AE:$AE,0)),"Not on Buffers",IF(NOT(ISNUMBER($B819)),"Needs a date",IF(INT($B819)&lt;PlanDate,"Past due",IF(INT($B819)=PlanDate,"Due today",IF(AND(INDEX(Buffers!$L:$L,MATCH($H819,Buffers!$AE:$AE,0))="Planned",$E819&gt;0,INT($B819)&lt;=PlanDate+ROUNDUP(IF(ISNUMBER(SpikeHorizon),SpikeHorizon,INDEX(Buffers!$D:$D,MATCH($H819,Buffers!$AE:$AE,0))),0),$E819&gt;=SpikePct*INDEX(Buffers!$P:$P,MATCH($H819,Buffers!$AE:$AE,0))),"Spike","Not qualified"))))))</f>
        <v/>
      </c>
      <c r="G819" s="8" t="str">
        <f aca="false">IF($A819="","",IF(OR($F819="Past due",$F819="Due today",$F819="Spike"),$C819,0))</f>
        <v/>
      </c>
      <c r="H819" s="8" t="str">
        <f aca="false">IF($A819="","",SUBSTITUTE(SUBSTITUTE(SUBSTITUTE($A819&amp;"","~","~~"),"*","~*"),"?","~?"))</f>
        <v/>
      </c>
    </row>
    <row r="820" customFormat="false" ht="15" hidden="false" customHeight="false" outlineLevel="0" collapsed="false">
      <c r="A820" s="11"/>
      <c r="B820" s="6"/>
      <c r="C820" s="11"/>
      <c r="D820" s="11"/>
      <c r="E820" s="8" t="str">
        <f aca="false">IF($A820="","",SUMIFS($C:$C,$A:$A,$H820,$B:$B,"&gt;="&amp;INT($B820),$B:$B,"&lt;"&amp;(INT($B820)+1)))</f>
        <v/>
      </c>
      <c r="F820" s="19" t="str">
        <f aca="false">IF($A820="","",IF(ISNA(MATCH($H820,Buffers!$AE:$AE,0)),"Not on Buffers",IF(NOT(ISNUMBER($B820)),"Needs a date",IF(INT($B820)&lt;PlanDate,"Past due",IF(INT($B820)=PlanDate,"Due today",IF(AND(INDEX(Buffers!$L:$L,MATCH($H820,Buffers!$AE:$AE,0))="Planned",$E820&gt;0,INT($B820)&lt;=PlanDate+ROUNDUP(IF(ISNUMBER(SpikeHorizon),SpikeHorizon,INDEX(Buffers!$D:$D,MATCH($H820,Buffers!$AE:$AE,0))),0),$E820&gt;=SpikePct*INDEX(Buffers!$P:$P,MATCH($H820,Buffers!$AE:$AE,0))),"Spike","Not qualified"))))))</f>
        <v/>
      </c>
      <c r="G820" s="8" t="str">
        <f aca="false">IF($A820="","",IF(OR($F820="Past due",$F820="Due today",$F820="Spike"),$C820,0))</f>
        <v/>
      </c>
      <c r="H820" s="8" t="str">
        <f aca="false">IF($A820="","",SUBSTITUTE(SUBSTITUTE(SUBSTITUTE($A820&amp;"","~","~~"),"*","~*"),"?","~?"))</f>
        <v/>
      </c>
    </row>
    <row r="821" customFormat="false" ht="15" hidden="false" customHeight="false" outlineLevel="0" collapsed="false">
      <c r="A821" s="11"/>
      <c r="B821" s="6"/>
      <c r="C821" s="11"/>
      <c r="D821" s="11"/>
      <c r="E821" s="8" t="str">
        <f aca="false">IF($A821="","",SUMIFS($C:$C,$A:$A,$H821,$B:$B,"&gt;="&amp;INT($B821),$B:$B,"&lt;"&amp;(INT($B821)+1)))</f>
        <v/>
      </c>
      <c r="F821" s="19" t="str">
        <f aca="false">IF($A821="","",IF(ISNA(MATCH($H821,Buffers!$AE:$AE,0)),"Not on Buffers",IF(NOT(ISNUMBER($B821)),"Needs a date",IF(INT($B821)&lt;PlanDate,"Past due",IF(INT($B821)=PlanDate,"Due today",IF(AND(INDEX(Buffers!$L:$L,MATCH($H821,Buffers!$AE:$AE,0))="Planned",$E821&gt;0,INT($B821)&lt;=PlanDate+ROUNDUP(IF(ISNUMBER(SpikeHorizon),SpikeHorizon,INDEX(Buffers!$D:$D,MATCH($H821,Buffers!$AE:$AE,0))),0),$E821&gt;=SpikePct*INDEX(Buffers!$P:$P,MATCH($H821,Buffers!$AE:$AE,0))),"Spike","Not qualified"))))))</f>
        <v/>
      </c>
      <c r="G821" s="8" t="str">
        <f aca="false">IF($A821="","",IF(OR($F821="Past due",$F821="Due today",$F821="Spike"),$C821,0))</f>
        <v/>
      </c>
      <c r="H821" s="8" t="str">
        <f aca="false">IF($A821="","",SUBSTITUTE(SUBSTITUTE(SUBSTITUTE($A821&amp;"","~","~~"),"*","~*"),"?","~?"))</f>
        <v/>
      </c>
    </row>
    <row r="822" customFormat="false" ht="15" hidden="false" customHeight="false" outlineLevel="0" collapsed="false">
      <c r="A822" s="11"/>
      <c r="B822" s="6"/>
      <c r="C822" s="11"/>
      <c r="D822" s="11"/>
      <c r="E822" s="8" t="str">
        <f aca="false">IF($A822="","",SUMIFS($C:$C,$A:$A,$H822,$B:$B,"&gt;="&amp;INT($B822),$B:$B,"&lt;"&amp;(INT($B822)+1)))</f>
        <v/>
      </c>
      <c r="F822" s="19" t="str">
        <f aca="false">IF($A822="","",IF(ISNA(MATCH($H822,Buffers!$AE:$AE,0)),"Not on Buffers",IF(NOT(ISNUMBER($B822)),"Needs a date",IF(INT($B822)&lt;PlanDate,"Past due",IF(INT($B822)=PlanDate,"Due today",IF(AND(INDEX(Buffers!$L:$L,MATCH($H822,Buffers!$AE:$AE,0))="Planned",$E822&gt;0,INT($B822)&lt;=PlanDate+ROUNDUP(IF(ISNUMBER(SpikeHorizon),SpikeHorizon,INDEX(Buffers!$D:$D,MATCH($H822,Buffers!$AE:$AE,0))),0),$E822&gt;=SpikePct*INDEX(Buffers!$P:$P,MATCH($H822,Buffers!$AE:$AE,0))),"Spike","Not qualified"))))))</f>
        <v/>
      </c>
      <c r="G822" s="8" t="str">
        <f aca="false">IF($A822="","",IF(OR($F822="Past due",$F822="Due today",$F822="Spike"),$C822,0))</f>
        <v/>
      </c>
      <c r="H822" s="8" t="str">
        <f aca="false">IF($A822="","",SUBSTITUTE(SUBSTITUTE(SUBSTITUTE($A822&amp;"","~","~~"),"*","~*"),"?","~?"))</f>
        <v/>
      </c>
    </row>
    <row r="823" customFormat="false" ht="15" hidden="false" customHeight="false" outlineLevel="0" collapsed="false">
      <c r="A823" s="11"/>
      <c r="B823" s="6"/>
      <c r="C823" s="11"/>
      <c r="D823" s="11"/>
      <c r="E823" s="8" t="str">
        <f aca="false">IF($A823="","",SUMIFS($C:$C,$A:$A,$H823,$B:$B,"&gt;="&amp;INT($B823),$B:$B,"&lt;"&amp;(INT($B823)+1)))</f>
        <v/>
      </c>
      <c r="F823" s="19" t="str">
        <f aca="false">IF($A823="","",IF(ISNA(MATCH($H823,Buffers!$AE:$AE,0)),"Not on Buffers",IF(NOT(ISNUMBER($B823)),"Needs a date",IF(INT($B823)&lt;PlanDate,"Past due",IF(INT($B823)=PlanDate,"Due today",IF(AND(INDEX(Buffers!$L:$L,MATCH($H823,Buffers!$AE:$AE,0))="Planned",$E823&gt;0,INT($B823)&lt;=PlanDate+ROUNDUP(IF(ISNUMBER(SpikeHorizon),SpikeHorizon,INDEX(Buffers!$D:$D,MATCH($H823,Buffers!$AE:$AE,0))),0),$E823&gt;=SpikePct*INDEX(Buffers!$P:$P,MATCH($H823,Buffers!$AE:$AE,0))),"Spike","Not qualified"))))))</f>
        <v/>
      </c>
      <c r="G823" s="8" t="str">
        <f aca="false">IF($A823="","",IF(OR($F823="Past due",$F823="Due today",$F823="Spike"),$C823,0))</f>
        <v/>
      </c>
      <c r="H823" s="8" t="str">
        <f aca="false">IF($A823="","",SUBSTITUTE(SUBSTITUTE(SUBSTITUTE($A823&amp;"","~","~~"),"*","~*"),"?","~?"))</f>
        <v/>
      </c>
    </row>
    <row r="824" customFormat="false" ht="15" hidden="false" customHeight="false" outlineLevel="0" collapsed="false">
      <c r="A824" s="11"/>
      <c r="B824" s="6"/>
      <c r="C824" s="11"/>
      <c r="D824" s="11"/>
      <c r="E824" s="8" t="str">
        <f aca="false">IF($A824="","",SUMIFS($C:$C,$A:$A,$H824,$B:$B,"&gt;="&amp;INT($B824),$B:$B,"&lt;"&amp;(INT($B824)+1)))</f>
        <v/>
      </c>
      <c r="F824" s="19" t="str">
        <f aca="false">IF($A824="","",IF(ISNA(MATCH($H824,Buffers!$AE:$AE,0)),"Not on Buffers",IF(NOT(ISNUMBER($B824)),"Needs a date",IF(INT($B824)&lt;PlanDate,"Past due",IF(INT($B824)=PlanDate,"Due today",IF(AND(INDEX(Buffers!$L:$L,MATCH($H824,Buffers!$AE:$AE,0))="Planned",$E824&gt;0,INT($B824)&lt;=PlanDate+ROUNDUP(IF(ISNUMBER(SpikeHorizon),SpikeHorizon,INDEX(Buffers!$D:$D,MATCH($H824,Buffers!$AE:$AE,0))),0),$E824&gt;=SpikePct*INDEX(Buffers!$P:$P,MATCH($H824,Buffers!$AE:$AE,0))),"Spike","Not qualified"))))))</f>
        <v/>
      </c>
      <c r="G824" s="8" t="str">
        <f aca="false">IF($A824="","",IF(OR($F824="Past due",$F824="Due today",$F824="Spike"),$C824,0))</f>
        <v/>
      </c>
      <c r="H824" s="8" t="str">
        <f aca="false">IF($A824="","",SUBSTITUTE(SUBSTITUTE(SUBSTITUTE($A824&amp;"","~","~~"),"*","~*"),"?","~?"))</f>
        <v/>
      </c>
    </row>
    <row r="825" customFormat="false" ht="15" hidden="false" customHeight="false" outlineLevel="0" collapsed="false">
      <c r="A825" s="11"/>
      <c r="B825" s="6"/>
      <c r="C825" s="11"/>
      <c r="D825" s="11"/>
      <c r="E825" s="8" t="str">
        <f aca="false">IF($A825="","",SUMIFS($C:$C,$A:$A,$H825,$B:$B,"&gt;="&amp;INT($B825),$B:$B,"&lt;"&amp;(INT($B825)+1)))</f>
        <v/>
      </c>
      <c r="F825" s="19" t="str">
        <f aca="false">IF($A825="","",IF(ISNA(MATCH($H825,Buffers!$AE:$AE,0)),"Not on Buffers",IF(NOT(ISNUMBER($B825)),"Needs a date",IF(INT($B825)&lt;PlanDate,"Past due",IF(INT($B825)=PlanDate,"Due today",IF(AND(INDEX(Buffers!$L:$L,MATCH($H825,Buffers!$AE:$AE,0))="Planned",$E825&gt;0,INT($B825)&lt;=PlanDate+ROUNDUP(IF(ISNUMBER(SpikeHorizon),SpikeHorizon,INDEX(Buffers!$D:$D,MATCH($H825,Buffers!$AE:$AE,0))),0),$E825&gt;=SpikePct*INDEX(Buffers!$P:$P,MATCH($H825,Buffers!$AE:$AE,0))),"Spike","Not qualified"))))))</f>
        <v/>
      </c>
      <c r="G825" s="8" t="str">
        <f aca="false">IF($A825="","",IF(OR($F825="Past due",$F825="Due today",$F825="Spike"),$C825,0))</f>
        <v/>
      </c>
      <c r="H825" s="8" t="str">
        <f aca="false">IF($A825="","",SUBSTITUTE(SUBSTITUTE(SUBSTITUTE($A825&amp;"","~","~~"),"*","~*"),"?","~?"))</f>
        <v/>
      </c>
    </row>
    <row r="826" customFormat="false" ht="15" hidden="false" customHeight="false" outlineLevel="0" collapsed="false">
      <c r="A826" s="11"/>
      <c r="B826" s="6"/>
      <c r="C826" s="11"/>
      <c r="D826" s="11"/>
      <c r="E826" s="8" t="str">
        <f aca="false">IF($A826="","",SUMIFS($C:$C,$A:$A,$H826,$B:$B,"&gt;="&amp;INT($B826),$B:$B,"&lt;"&amp;(INT($B826)+1)))</f>
        <v/>
      </c>
      <c r="F826" s="19" t="str">
        <f aca="false">IF($A826="","",IF(ISNA(MATCH($H826,Buffers!$AE:$AE,0)),"Not on Buffers",IF(NOT(ISNUMBER($B826)),"Needs a date",IF(INT($B826)&lt;PlanDate,"Past due",IF(INT($B826)=PlanDate,"Due today",IF(AND(INDEX(Buffers!$L:$L,MATCH($H826,Buffers!$AE:$AE,0))="Planned",$E826&gt;0,INT($B826)&lt;=PlanDate+ROUNDUP(IF(ISNUMBER(SpikeHorizon),SpikeHorizon,INDEX(Buffers!$D:$D,MATCH($H826,Buffers!$AE:$AE,0))),0),$E826&gt;=SpikePct*INDEX(Buffers!$P:$P,MATCH($H826,Buffers!$AE:$AE,0))),"Spike","Not qualified"))))))</f>
        <v/>
      </c>
      <c r="G826" s="8" t="str">
        <f aca="false">IF($A826="","",IF(OR($F826="Past due",$F826="Due today",$F826="Spike"),$C826,0))</f>
        <v/>
      </c>
      <c r="H826" s="8" t="str">
        <f aca="false">IF($A826="","",SUBSTITUTE(SUBSTITUTE(SUBSTITUTE($A826&amp;"","~","~~"),"*","~*"),"?","~?"))</f>
        <v/>
      </c>
    </row>
    <row r="827" customFormat="false" ht="15" hidden="false" customHeight="false" outlineLevel="0" collapsed="false">
      <c r="A827" s="11"/>
      <c r="B827" s="6"/>
      <c r="C827" s="11"/>
      <c r="D827" s="11"/>
      <c r="E827" s="8" t="str">
        <f aca="false">IF($A827="","",SUMIFS($C:$C,$A:$A,$H827,$B:$B,"&gt;="&amp;INT($B827),$B:$B,"&lt;"&amp;(INT($B827)+1)))</f>
        <v/>
      </c>
      <c r="F827" s="19" t="str">
        <f aca="false">IF($A827="","",IF(ISNA(MATCH($H827,Buffers!$AE:$AE,0)),"Not on Buffers",IF(NOT(ISNUMBER($B827)),"Needs a date",IF(INT($B827)&lt;PlanDate,"Past due",IF(INT($B827)=PlanDate,"Due today",IF(AND(INDEX(Buffers!$L:$L,MATCH($H827,Buffers!$AE:$AE,0))="Planned",$E827&gt;0,INT($B827)&lt;=PlanDate+ROUNDUP(IF(ISNUMBER(SpikeHorizon),SpikeHorizon,INDEX(Buffers!$D:$D,MATCH($H827,Buffers!$AE:$AE,0))),0),$E827&gt;=SpikePct*INDEX(Buffers!$P:$P,MATCH($H827,Buffers!$AE:$AE,0))),"Spike","Not qualified"))))))</f>
        <v/>
      </c>
      <c r="G827" s="8" t="str">
        <f aca="false">IF($A827="","",IF(OR($F827="Past due",$F827="Due today",$F827="Spike"),$C827,0))</f>
        <v/>
      </c>
      <c r="H827" s="8" t="str">
        <f aca="false">IF($A827="","",SUBSTITUTE(SUBSTITUTE(SUBSTITUTE($A827&amp;"","~","~~"),"*","~*"),"?","~?"))</f>
        <v/>
      </c>
    </row>
    <row r="828" customFormat="false" ht="15" hidden="false" customHeight="false" outlineLevel="0" collapsed="false">
      <c r="A828" s="11"/>
      <c r="B828" s="6"/>
      <c r="C828" s="11"/>
      <c r="D828" s="11"/>
      <c r="E828" s="8" t="str">
        <f aca="false">IF($A828="","",SUMIFS($C:$C,$A:$A,$H828,$B:$B,"&gt;="&amp;INT($B828),$B:$B,"&lt;"&amp;(INT($B828)+1)))</f>
        <v/>
      </c>
      <c r="F828" s="19" t="str">
        <f aca="false">IF($A828="","",IF(ISNA(MATCH($H828,Buffers!$AE:$AE,0)),"Not on Buffers",IF(NOT(ISNUMBER($B828)),"Needs a date",IF(INT($B828)&lt;PlanDate,"Past due",IF(INT($B828)=PlanDate,"Due today",IF(AND(INDEX(Buffers!$L:$L,MATCH($H828,Buffers!$AE:$AE,0))="Planned",$E828&gt;0,INT($B828)&lt;=PlanDate+ROUNDUP(IF(ISNUMBER(SpikeHorizon),SpikeHorizon,INDEX(Buffers!$D:$D,MATCH($H828,Buffers!$AE:$AE,0))),0),$E828&gt;=SpikePct*INDEX(Buffers!$P:$P,MATCH($H828,Buffers!$AE:$AE,0))),"Spike","Not qualified"))))))</f>
        <v/>
      </c>
      <c r="G828" s="8" t="str">
        <f aca="false">IF($A828="","",IF(OR($F828="Past due",$F828="Due today",$F828="Spike"),$C828,0))</f>
        <v/>
      </c>
      <c r="H828" s="8" t="str">
        <f aca="false">IF($A828="","",SUBSTITUTE(SUBSTITUTE(SUBSTITUTE($A828&amp;"","~","~~"),"*","~*"),"?","~?"))</f>
        <v/>
      </c>
    </row>
    <row r="829" customFormat="false" ht="15" hidden="false" customHeight="false" outlineLevel="0" collapsed="false">
      <c r="A829" s="11"/>
      <c r="B829" s="6"/>
      <c r="C829" s="11"/>
      <c r="D829" s="11"/>
      <c r="E829" s="8" t="str">
        <f aca="false">IF($A829="","",SUMIFS($C:$C,$A:$A,$H829,$B:$B,"&gt;="&amp;INT($B829),$B:$B,"&lt;"&amp;(INT($B829)+1)))</f>
        <v/>
      </c>
      <c r="F829" s="19" t="str">
        <f aca="false">IF($A829="","",IF(ISNA(MATCH($H829,Buffers!$AE:$AE,0)),"Not on Buffers",IF(NOT(ISNUMBER($B829)),"Needs a date",IF(INT($B829)&lt;PlanDate,"Past due",IF(INT($B829)=PlanDate,"Due today",IF(AND(INDEX(Buffers!$L:$L,MATCH($H829,Buffers!$AE:$AE,0))="Planned",$E829&gt;0,INT($B829)&lt;=PlanDate+ROUNDUP(IF(ISNUMBER(SpikeHorizon),SpikeHorizon,INDEX(Buffers!$D:$D,MATCH($H829,Buffers!$AE:$AE,0))),0),$E829&gt;=SpikePct*INDEX(Buffers!$P:$P,MATCH($H829,Buffers!$AE:$AE,0))),"Spike","Not qualified"))))))</f>
        <v/>
      </c>
      <c r="G829" s="8" t="str">
        <f aca="false">IF($A829="","",IF(OR($F829="Past due",$F829="Due today",$F829="Spike"),$C829,0))</f>
        <v/>
      </c>
      <c r="H829" s="8" t="str">
        <f aca="false">IF($A829="","",SUBSTITUTE(SUBSTITUTE(SUBSTITUTE($A829&amp;"","~","~~"),"*","~*"),"?","~?"))</f>
        <v/>
      </c>
    </row>
    <row r="830" customFormat="false" ht="15" hidden="false" customHeight="false" outlineLevel="0" collapsed="false">
      <c r="A830" s="11"/>
      <c r="B830" s="6"/>
      <c r="C830" s="11"/>
      <c r="D830" s="11"/>
      <c r="E830" s="8" t="str">
        <f aca="false">IF($A830="","",SUMIFS($C:$C,$A:$A,$H830,$B:$B,"&gt;="&amp;INT($B830),$B:$B,"&lt;"&amp;(INT($B830)+1)))</f>
        <v/>
      </c>
      <c r="F830" s="19" t="str">
        <f aca="false">IF($A830="","",IF(ISNA(MATCH($H830,Buffers!$AE:$AE,0)),"Not on Buffers",IF(NOT(ISNUMBER($B830)),"Needs a date",IF(INT($B830)&lt;PlanDate,"Past due",IF(INT($B830)=PlanDate,"Due today",IF(AND(INDEX(Buffers!$L:$L,MATCH($H830,Buffers!$AE:$AE,0))="Planned",$E830&gt;0,INT($B830)&lt;=PlanDate+ROUNDUP(IF(ISNUMBER(SpikeHorizon),SpikeHorizon,INDEX(Buffers!$D:$D,MATCH($H830,Buffers!$AE:$AE,0))),0),$E830&gt;=SpikePct*INDEX(Buffers!$P:$P,MATCH($H830,Buffers!$AE:$AE,0))),"Spike","Not qualified"))))))</f>
        <v/>
      </c>
      <c r="G830" s="8" t="str">
        <f aca="false">IF($A830="","",IF(OR($F830="Past due",$F830="Due today",$F830="Spike"),$C830,0))</f>
        <v/>
      </c>
      <c r="H830" s="8" t="str">
        <f aca="false">IF($A830="","",SUBSTITUTE(SUBSTITUTE(SUBSTITUTE($A830&amp;"","~","~~"),"*","~*"),"?","~?"))</f>
        <v/>
      </c>
    </row>
    <row r="831" customFormat="false" ht="15" hidden="false" customHeight="false" outlineLevel="0" collapsed="false">
      <c r="A831" s="11"/>
      <c r="B831" s="6"/>
      <c r="C831" s="11"/>
      <c r="D831" s="11"/>
      <c r="E831" s="8" t="str">
        <f aca="false">IF($A831="","",SUMIFS($C:$C,$A:$A,$H831,$B:$B,"&gt;="&amp;INT($B831),$B:$B,"&lt;"&amp;(INT($B831)+1)))</f>
        <v/>
      </c>
      <c r="F831" s="19" t="str">
        <f aca="false">IF($A831="","",IF(ISNA(MATCH($H831,Buffers!$AE:$AE,0)),"Not on Buffers",IF(NOT(ISNUMBER($B831)),"Needs a date",IF(INT($B831)&lt;PlanDate,"Past due",IF(INT($B831)=PlanDate,"Due today",IF(AND(INDEX(Buffers!$L:$L,MATCH($H831,Buffers!$AE:$AE,0))="Planned",$E831&gt;0,INT($B831)&lt;=PlanDate+ROUNDUP(IF(ISNUMBER(SpikeHorizon),SpikeHorizon,INDEX(Buffers!$D:$D,MATCH($H831,Buffers!$AE:$AE,0))),0),$E831&gt;=SpikePct*INDEX(Buffers!$P:$P,MATCH($H831,Buffers!$AE:$AE,0))),"Spike","Not qualified"))))))</f>
        <v/>
      </c>
      <c r="G831" s="8" t="str">
        <f aca="false">IF($A831="","",IF(OR($F831="Past due",$F831="Due today",$F831="Spike"),$C831,0))</f>
        <v/>
      </c>
      <c r="H831" s="8" t="str">
        <f aca="false">IF($A831="","",SUBSTITUTE(SUBSTITUTE(SUBSTITUTE($A831&amp;"","~","~~"),"*","~*"),"?","~?"))</f>
        <v/>
      </c>
    </row>
    <row r="832" customFormat="false" ht="15" hidden="false" customHeight="false" outlineLevel="0" collapsed="false">
      <c r="A832" s="11"/>
      <c r="B832" s="6"/>
      <c r="C832" s="11"/>
      <c r="D832" s="11"/>
      <c r="E832" s="8" t="str">
        <f aca="false">IF($A832="","",SUMIFS($C:$C,$A:$A,$H832,$B:$B,"&gt;="&amp;INT($B832),$B:$B,"&lt;"&amp;(INT($B832)+1)))</f>
        <v/>
      </c>
      <c r="F832" s="19" t="str">
        <f aca="false">IF($A832="","",IF(ISNA(MATCH($H832,Buffers!$AE:$AE,0)),"Not on Buffers",IF(NOT(ISNUMBER($B832)),"Needs a date",IF(INT($B832)&lt;PlanDate,"Past due",IF(INT($B832)=PlanDate,"Due today",IF(AND(INDEX(Buffers!$L:$L,MATCH($H832,Buffers!$AE:$AE,0))="Planned",$E832&gt;0,INT($B832)&lt;=PlanDate+ROUNDUP(IF(ISNUMBER(SpikeHorizon),SpikeHorizon,INDEX(Buffers!$D:$D,MATCH($H832,Buffers!$AE:$AE,0))),0),$E832&gt;=SpikePct*INDEX(Buffers!$P:$P,MATCH($H832,Buffers!$AE:$AE,0))),"Spike","Not qualified"))))))</f>
        <v/>
      </c>
      <c r="G832" s="8" t="str">
        <f aca="false">IF($A832="","",IF(OR($F832="Past due",$F832="Due today",$F832="Spike"),$C832,0))</f>
        <v/>
      </c>
      <c r="H832" s="8" t="str">
        <f aca="false">IF($A832="","",SUBSTITUTE(SUBSTITUTE(SUBSTITUTE($A832&amp;"","~","~~"),"*","~*"),"?","~?"))</f>
        <v/>
      </c>
    </row>
    <row r="833" customFormat="false" ht="15" hidden="false" customHeight="false" outlineLevel="0" collapsed="false">
      <c r="A833" s="11"/>
      <c r="B833" s="6"/>
      <c r="C833" s="11"/>
      <c r="D833" s="11"/>
      <c r="E833" s="8" t="str">
        <f aca="false">IF($A833="","",SUMIFS($C:$C,$A:$A,$H833,$B:$B,"&gt;="&amp;INT($B833),$B:$B,"&lt;"&amp;(INT($B833)+1)))</f>
        <v/>
      </c>
      <c r="F833" s="19" t="str">
        <f aca="false">IF($A833="","",IF(ISNA(MATCH($H833,Buffers!$AE:$AE,0)),"Not on Buffers",IF(NOT(ISNUMBER($B833)),"Needs a date",IF(INT($B833)&lt;PlanDate,"Past due",IF(INT($B833)=PlanDate,"Due today",IF(AND(INDEX(Buffers!$L:$L,MATCH($H833,Buffers!$AE:$AE,0))="Planned",$E833&gt;0,INT($B833)&lt;=PlanDate+ROUNDUP(IF(ISNUMBER(SpikeHorizon),SpikeHorizon,INDEX(Buffers!$D:$D,MATCH($H833,Buffers!$AE:$AE,0))),0),$E833&gt;=SpikePct*INDEX(Buffers!$P:$P,MATCH($H833,Buffers!$AE:$AE,0))),"Spike","Not qualified"))))))</f>
        <v/>
      </c>
      <c r="G833" s="8" t="str">
        <f aca="false">IF($A833="","",IF(OR($F833="Past due",$F833="Due today",$F833="Spike"),$C833,0))</f>
        <v/>
      </c>
      <c r="H833" s="8" t="str">
        <f aca="false">IF($A833="","",SUBSTITUTE(SUBSTITUTE(SUBSTITUTE($A833&amp;"","~","~~"),"*","~*"),"?","~?"))</f>
        <v/>
      </c>
    </row>
    <row r="834" customFormat="false" ht="15" hidden="false" customHeight="false" outlineLevel="0" collapsed="false">
      <c r="A834" s="11"/>
      <c r="B834" s="6"/>
      <c r="C834" s="11"/>
      <c r="D834" s="11"/>
      <c r="E834" s="8" t="str">
        <f aca="false">IF($A834="","",SUMIFS($C:$C,$A:$A,$H834,$B:$B,"&gt;="&amp;INT($B834),$B:$B,"&lt;"&amp;(INT($B834)+1)))</f>
        <v/>
      </c>
      <c r="F834" s="19" t="str">
        <f aca="false">IF($A834="","",IF(ISNA(MATCH($H834,Buffers!$AE:$AE,0)),"Not on Buffers",IF(NOT(ISNUMBER($B834)),"Needs a date",IF(INT($B834)&lt;PlanDate,"Past due",IF(INT($B834)=PlanDate,"Due today",IF(AND(INDEX(Buffers!$L:$L,MATCH($H834,Buffers!$AE:$AE,0))="Planned",$E834&gt;0,INT($B834)&lt;=PlanDate+ROUNDUP(IF(ISNUMBER(SpikeHorizon),SpikeHorizon,INDEX(Buffers!$D:$D,MATCH($H834,Buffers!$AE:$AE,0))),0),$E834&gt;=SpikePct*INDEX(Buffers!$P:$P,MATCH($H834,Buffers!$AE:$AE,0))),"Spike","Not qualified"))))))</f>
        <v/>
      </c>
      <c r="G834" s="8" t="str">
        <f aca="false">IF($A834="","",IF(OR($F834="Past due",$F834="Due today",$F834="Spike"),$C834,0))</f>
        <v/>
      </c>
      <c r="H834" s="8" t="str">
        <f aca="false">IF($A834="","",SUBSTITUTE(SUBSTITUTE(SUBSTITUTE($A834&amp;"","~","~~"),"*","~*"),"?","~?"))</f>
        <v/>
      </c>
    </row>
    <row r="835" customFormat="false" ht="15" hidden="false" customHeight="false" outlineLevel="0" collapsed="false">
      <c r="A835" s="11"/>
      <c r="B835" s="6"/>
      <c r="C835" s="11"/>
      <c r="D835" s="11"/>
      <c r="E835" s="8" t="str">
        <f aca="false">IF($A835="","",SUMIFS($C:$C,$A:$A,$H835,$B:$B,"&gt;="&amp;INT($B835),$B:$B,"&lt;"&amp;(INT($B835)+1)))</f>
        <v/>
      </c>
      <c r="F835" s="19" t="str">
        <f aca="false">IF($A835="","",IF(ISNA(MATCH($H835,Buffers!$AE:$AE,0)),"Not on Buffers",IF(NOT(ISNUMBER($B835)),"Needs a date",IF(INT($B835)&lt;PlanDate,"Past due",IF(INT($B835)=PlanDate,"Due today",IF(AND(INDEX(Buffers!$L:$L,MATCH($H835,Buffers!$AE:$AE,0))="Planned",$E835&gt;0,INT($B835)&lt;=PlanDate+ROUNDUP(IF(ISNUMBER(SpikeHorizon),SpikeHorizon,INDEX(Buffers!$D:$D,MATCH($H835,Buffers!$AE:$AE,0))),0),$E835&gt;=SpikePct*INDEX(Buffers!$P:$P,MATCH($H835,Buffers!$AE:$AE,0))),"Spike","Not qualified"))))))</f>
        <v/>
      </c>
      <c r="G835" s="8" t="str">
        <f aca="false">IF($A835="","",IF(OR($F835="Past due",$F835="Due today",$F835="Spike"),$C835,0))</f>
        <v/>
      </c>
      <c r="H835" s="8" t="str">
        <f aca="false">IF($A835="","",SUBSTITUTE(SUBSTITUTE(SUBSTITUTE($A835&amp;"","~","~~"),"*","~*"),"?","~?"))</f>
        <v/>
      </c>
    </row>
    <row r="836" customFormat="false" ht="15" hidden="false" customHeight="false" outlineLevel="0" collapsed="false">
      <c r="A836" s="11"/>
      <c r="B836" s="6"/>
      <c r="C836" s="11"/>
      <c r="D836" s="11"/>
      <c r="E836" s="8" t="str">
        <f aca="false">IF($A836="","",SUMIFS($C:$C,$A:$A,$H836,$B:$B,"&gt;="&amp;INT($B836),$B:$B,"&lt;"&amp;(INT($B836)+1)))</f>
        <v/>
      </c>
      <c r="F836" s="19" t="str">
        <f aca="false">IF($A836="","",IF(ISNA(MATCH($H836,Buffers!$AE:$AE,0)),"Not on Buffers",IF(NOT(ISNUMBER($B836)),"Needs a date",IF(INT($B836)&lt;PlanDate,"Past due",IF(INT($B836)=PlanDate,"Due today",IF(AND(INDEX(Buffers!$L:$L,MATCH($H836,Buffers!$AE:$AE,0))="Planned",$E836&gt;0,INT($B836)&lt;=PlanDate+ROUNDUP(IF(ISNUMBER(SpikeHorizon),SpikeHorizon,INDEX(Buffers!$D:$D,MATCH($H836,Buffers!$AE:$AE,0))),0),$E836&gt;=SpikePct*INDEX(Buffers!$P:$P,MATCH($H836,Buffers!$AE:$AE,0))),"Spike","Not qualified"))))))</f>
        <v/>
      </c>
      <c r="G836" s="8" t="str">
        <f aca="false">IF($A836="","",IF(OR($F836="Past due",$F836="Due today",$F836="Spike"),$C836,0))</f>
        <v/>
      </c>
      <c r="H836" s="8" t="str">
        <f aca="false">IF($A836="","",SUBSTITUTE(SUBSTITUTE(SUBSTITUTE($A836&amp;"","~","~~"),"*","~*"),"?","~?"))</f>
        <v/>
      </c>
    </row>
    <row r="837" customFormat="false" ht="15" hidden="false" customHeight="false" outlineLevel="0" collapsed="false">
      <c r="A837" s="11"/>
      <c r="B837" s="6"/>
      <c r="C837" s="11"/>
      <c r="D837" s="11"/>
      <c r="E837" s="8" t="str">
        <f aca="false">IF($A837="","",SUMIFS($C:$C,$A:$A,$H837,$B:$B,"&gt;="&amp;INT($B837),$B:$B,"&lt;"&amp;(INT($B837)+1)))</f>
        <v/>
      </c>
      <c r="F837" s="19" t="str">
        <f aca="false">IF($A837="","",IF(ISNA(MATCH($H837,Buffers!$AE:$AE,0)),"Not on Buffers",IF(NOT(ISNUMBER($B837)),"Needs a date",IF(INT($B837)&lt;PlanDate,"Past due",IF(INT($B837)=PlanDate,"Due today",IF(AND(INDEX(Buffers!$L:$L,MATCH($H837,Buffers!$AE:$AE,0))="Planned",$E837&gt;0,INT($B837)&lt;=PlanDate+ROUNDUP(IF(ISNUMBER(SpikeHorizon),SpikeHorizon,INDEX(Buffers!$D:$D,MATCH($H837,Buffers!$AE:$AE,0))),0),$E837&gt;=SpikePct*INDEX(Buffers!$P:$P,MATCH($H837,Buffers!$AE:$AE,0))),"Spike","Not qualified"))))))</f>
        <v/>
      </c>
      <c r="G837" s="8" t="str">
        <f aca="false">IF($A837="","",IF(OR($F837="Past due",$F837="Due today",$F837="Spike"),$C837,0))</f>
        <v/>
      </c>
      <c r="H837" s="8" t="str">
        <f aca="false">IF($A837="","",SUBSTITUTE(SUBSTITUTE(SUBSTITUTE($A837&amp;"","~","~~"),"*","~*"),"?","~?"))</f>
        <v/>
      </c>
    </row>
    <row r="838" customFormat="false" ht="15" hidden="false" customHeight="false" outlineLevel="0" collapsed="false">
      <c r="A838" s="11"/>
      <c r="B838" s="6"/>
      <c r="C838" s="11"/>
      <c r="D838" s="11"/>
      <c r="E838" s="8" t="str">
        <f aca="false">IF($A838="","",SUMIFS($C:$C,$A:$A,$H838,$B:$B,"&gt;="&amp;INT($B838),$B:$B,"&lt;"&amp;(INT($B838)+1)))</f>
        <v/>
      </c>
      <c r="F838" s="19" t="str">
        <f aca="false">IF($A838="","",IF(ISNA(MATCH($H838,Buffers!$AE:$AE,0)),"Not on Buffers",IF(NOT(ISNUMBER($B838)),"Needs a date",IF(INT($B838)&lt;PlanDate,"Past due",IF(INT($B838)=PlanDate,"Due today",IF(AND(INDEX(Buffers!$L:$L,MATCH($H838,Buffers!$AE:$AE,0))="Planned",$E838&gt;0,INT($B838)&lt;=PlanDate+ROUNDUP(IF(ISNUMBER(SpikeHorizon),SpikeHorizon,INDEX(Buffers!$D:$D,MATCH($H838,Buffers!$AE:$AE,0))),0),$E838&gt;=SpikePct*INDEX(Buffers!$P:$P,MATCH($H838,Buffers!$AE:$AE,0))),"Spike","Not qualified"))))))</f>
        <v/>
      </c>
      <c r="G838" s="8" t="str">
        <f aca="false">IF($A838="","",IF(OR($F838="Past due",$F838="Due today",$F838="Spike"),$C838,0))</f>
        <v/>
      </c>
      <c r="H838" s="8" t="str">
        <f aca="false">IF($A838="","",SUBSTITUTE(SUBSTITUTE(SUBSTITUTE($A838&amp;"","~","~~"),"*","~*"),"?","~?"))</f>
        <v/>
      </c>
    </row>
    <row r="839" customFormat="false" ht="15" hidden="false" customHeight="false" outlineLevel="0" collapsed="false">
      <c r="A839" s="11"/>
      <c r="B839" s="6"/>
      <c r="C839" s="11"/>
      <c r="D839" s="11"/>
      <c r="E839" s="8" t="str">
        <f aca="false">IF($A839="","",SUMIFS($C:$C,$A:$A,$H839,$B:$B,"&gt;="&amp;INT($B839),$B:$B,"&lt;"&amp;(INT($B839)+1)))</f>
        <v/>
      </c>
      <c r="F839" s="19" t="str">
        <f aca="false">IF($A839="","",IF(ISNA(MATCH($H839,Buffers!$AE:$AE,0)),"Not on Buffers",IF(NOT(ISNUMBER($B839)),"Needs a date",IF(INT($B839)&lt;PlanDate,"Past due",IF(INT($B839)=PlanDate,"Due today",IF(AND(INDEX(Buffers!$L:$L,MATCH($H839,Buffers!$AE:$AE,0))="Planned",$E839&gt;0,INT($B839)&lt;=PlanDate+ROUNDUP(IF(ISNUMBER(SpikeHorizon),SpikeHorizon,INDEX(Buffers!$D:$D,MATCH($H839,Buffers!$AE:$AE,0))),0),$E839&gt;=SpikePct*INDEX(Buffers!$P:$P,MATCH($H839,Buffers!$AE:$AE,0))),"Spike","Not qualified"))))))</f>
        <v/>
      </c>
      <c r="G839" s="8" t="str">
        <f aca="false">IF($A839="","",IF(OR($F839="Past due",$F839="Due today",$F839="Spike"),$C839,0))</f>
        <v/>
      </c>
      <c r="H839" s="8" t="str">
        <f aca="false">IF($A839="","",SUBSTITUTE(SUBSTITUTE(SUBSTITUTE($A839&amp;"","~","~~"),"*","~*"),"?","~?"))</f>
        <v/>
      </c>
    </row>
    <row r="840" customFormat="false" ht="15" hidden="false" customHeight="false" outlineLevel="0" collapsed="false">
      <c r="A840" s="11"/>
      <c r="B840" s="6"/>
      <c r="C840" s="11"/>
      <c r="D840" s="11"/>
      <c r="E840" s="8" t="str">
        <f aca="false">IF($A840="","",SUMIFS($C:$C,$A:$A,$H840,$B:$B,"&gt;="&amp;INT($B840),$B:$B,"&lt;"&amp;(INT($B840)+1)))</f>
        <v/>
      </c>
      <c r="F840" s="19" t="str">
        <f aca="false">IF($A840="","",IF(ISNA(MATCH($H840,Buffers!$AE:$AE,0)),"Not on Buffers",IF(NOT(ISNUMBER($B840)),"Needs a date",IF(INT($B840)&lt;PlanDate,"Past due",IF(INT($B840)=PlanDate,"Due today",IF(AND(INDEX(Buffers!$L:$L,MATCH($H840,Buffers!$AE:$AE,0))="Planned",$E840&gt;0,INT($B840)&lt;=PlanDate+ROUNDUP(IF(ISNUMBER(SpikeHorizon),SpikeHorizon,INDEX(Buffers!$D:$D,MATCH($H840,Buffers!$AE:$AE,0))),0),$E840&gt;=SpikePct*INDEX(Buffers!$P:$P,MATCH($H840,Buffers!$AE:$AE,0))),"Spike","Not qualified"))))))</f>
        <v/>
      </c>
      <c r="G840" s="8" t="str">
        <f aca="false">IF($A840="","",IF(OR($F840="Past due",$F840="Due today",$F840="Spike"),$C840,0))</f>
        <v/>
      </c>
      <c r="H840" s="8" t="str">
        <f aca="false">IF($A840="","",SUBSTITUTE(SUBSTITUTE(SUBSTITUTE($A840&amp;"","~","~~"),"*","~*"),"?","~?"))</f>
        <v/>
      </c>
    </row>
    <row r="841" customFormat="false" ht="15" hidden="false" customHeight="false" outlineLevel="0" collapsed="false">
      <c r="A841" s="11"/>
      <c r="B841" s="6"/>
      <c r="C841" s="11"/>
      <c r="D841" s="11"/>
      <c r="E841" s="8" t="str">
        <f aca="false">IF($A841="","",SUMIFS($C:$C,$A:$A,$H841,$B:$B,"&gt;="&amp;INT($B841),$B:$B,"&lt;"&amp;(INT($B841)+1)))</f>
        <v/>
      </c>
      <c r="F841" s="19" t="str">
        <f aca="false">IF($A841="","",IF(ISNA(MATCH($H841,Buffers!$AE:$AE,0)),"Not on Buffers",IF(NOT(ISNUMBER($B841)),"Needs a date",IF(INT($B841)&lt;PlanDate,"Past due",IF(INT($B841)=PlanDate,"Due today",IF(AND(INDEX(Buffers!$L:$L,MATCH($H841,Buffers!$AE:$AE,0))="Planned",$E841&gt;0,INT($B841)&lt;=PlanDate+ROUNDUP(IF(ISNUMBER(SpikeHorizon),SpikeHorizon,INDEX(Buffers!$D:$D,MATCH($H841,Buffers!$AE:$AE,0))),0),$E841&gt;=SpikePct*INDEX(Buffers!$P:$P,MATCH($H841,Buffers!$AE:$AE,0))),"Spike","Not qualified"))))))</f>
        <v/>
      </c>
      <c r="G841" s="8" t="str">
        <f aca="false">IF($A841="","",IF(OR($F841="Past due",$F841="Due today",$F841="Spike"),$C841,0))</f>
        <v/>
      </c>
      <c r="H841" s="8" t="str">
        <f aca="false">IF($A841="","",SUBSTITUTE(SUBSTITUTE(SUBSTITUTE($A841&amp;"","~","~~"),"*","~*"),"?","~?"))</f>
        <v/>
      </c>
    </row>
    <row r="842" customFormat="false" ht="15" hidden="false" customHeight="false" outlineLevel="0" collapsed="false">
      <c r="A842" s="11"/>
      <c r="B842" s="6"/>
      <c r="C842" s="11"/>
      <c r="D842" s="11"/>
      <c r="E842" s="8" t="str">
        <f aca="false">IF($A842="","",SUMIFS($C:$C,$A:$A,$H842,$B:$B,"&gt;="&amp;INT($B842),$B:$B,"&lt;"&amp;(INT($B842)+1)))</f>
        <v/>
      </c>
      <c r="F842" s="19" t="str">
        <f aca="false">IF($A842="","",IF(ISNA(MATCH($H842,Buffers!$AE:$AE,0)),"Not on Buffers",IF(NOT(ISNUMBER($B842)),"Needs a date",IF(INT($B842)&lt;PlanDate,"Past due",IF(INT($B842)=PlanDate,"Due today",IF(AND(INDEX(Buffers!$L:$L,MATCH($H842,Buffers!$AE:$AE,0))="Planned",$E842&gt;0,INT($B842)&lt;=PlanDate+ROUNDUP(IF(ISNUMBER(SpikeHorizon),SpikeHorizon,INDEX(Buffers!$D:$D,MATCH($H842,Buffers!$AE:$AE,0))),0),$E842&gt;=SpikePct*INDEX(Buffers!$P:$P,MATCH($H842,Buffers!$AE:$AE,0))),"Spike","Not qualified"))))))</f>
        <v/>
      </c>
      <c r="G842" s="8" t="str">
        <f aca="false">IF($A842="","",IF(OR($F842="Past due",$F842="Due today",$F842="Spike"),$C842,0))</f>
        <v/>
      </c>
      <c r="H842" s="8" t="str">
        <f aca="false">IF($A842="","",SUBSTITUTE(SUBSTITUTE(SUBSTITUTE($A842&amp;"","~","~~"),"*","~*"),"?","~?"))</f>
        <v/>
      </c>
    </row>
    <row r="843" customFormat="false" ht="15" hidden="false" customHeight="false" outlineLevel="0" collapsed="false">
      <c r="A843" s="11"/>
      <c r="B843" s="6"/>
      <c r="C843" s="11"/>
      <c r="D843" s="11"/>
      <c r="E843" s="8" t="str">
        <f aca="false">IF($A843="","",SUMIFS($C:$C,$A:$A,$H843,$B:$B,"&gt;="&amp;INT($B843),$B:$B,"&lt;"&amp;(INT($B843)+1)))</f>
        <v/>
      </c>
      <c r="F843" s="19" t="str">
        <f aca="false">IF($A843="","",IF(ISNA(MATCH($H843,Buffers!$AE:$AE,0)),"Not on Buffers",IF(NOT(ISNUMBER($B843)),"Needs a date",IF(INT($B843)&lt;PlanDate,"Past due",IF(INT($B843)=PlanDate,"Due today",IF(AND(INDEX(Buffers!$L:$L,MATCH($H843,Buffers!$AE:$AE,0))="Planned",$E843&gt;0,INT($B843)&lt;=PlanDate+ROUNDUP(IF(ISNUMBER(SpikeHorizon),SpikeHorizon,INDEX(Buffers!$D:$D,MATCH($H843,Buffers!$AE:$AE,0))),0),$E843&gt;=SpikePct*INDEX(Buffers!$P:$P,MATCH($H843,Buffers!$AE:$AE,0))),"Spike","Not qualified"))))))</f>
        <v/>
      </c>
      <c r="G843" s="8" t="str">
        <f aca="false">IF($A843="","",IF(OR($F843="Past due",$F843="Due today",$F843="Spike"),$C843,0))</f>
        <v/>
      </c>
      <c r="H843" s="8" t="str">
        <f aca="false">IF($A843="","",SUBSTITUTE(SUBSTITUTE(SUBSTITUTE($A843&amp;"","~","~~"),"*","~*"),"?","~?"))</f>
        <v/>
      </c>
    </row>
    <row r="844" customFormat="false" ht="15" hidden="false" customHeight="false" outlineLevel="0" collapsed="false">
      <c r="A844" s="11"/>
      <c r="B844" s="6"/>
      <c r="C844" s="11"/>
      <c r="D844" s="11"/>
      <c r="E844" s="8" t="str">
        <f aca="false">IF($A844="","",SUMIFS($C:$C,$A:$A,$H844,$B:$B,"&gt;="&amp;INT($B844),$B:$B,"&lt;"&amp;(INT($B844)+1)))</f>
        <v/>
      </c>
      <c r="F844" s="19" t="str">
        <f aca="false">IF($A844="","",IF(ISNA(MATCH($H844,Buffers!$AE:$AE,0)),"Not on Buffers",IF(NOT(ISNUMBER($B844)),"Needs a date",IF(INT($B844)&lt;PlanDate,"Past due",IF(INT($B844)=PlanDate,"Due today",IF(AND(INDEX(Buffers!$L:$L,MATCH($H844,Buffers!$AE:$AE,0))="Planned",$E844&gt;0,INT($B844)&lt;=PlanDate+ROUNDUP(IF(ISNUMBER(SpikeHorizon),SpikeHorizon,INDEX(Buffers!$D:$D,MATCH($H844,Buffers!$AE:$AE,0))),0),$E844&gt;=SpikePct*INDEX(Buffers!$P:$P,MATCH($H844,Buffers!$AE:$AE,0))),"Spike","Not qualified"))))))</f>
        <v/>
      </c>
      <c r="G844" s="8" t="str">
        <f aca="false">IF($A844="","",IF(OR($F844="Past due",$F844="Due today",$F844="Spike"),$C844,0))</f>
        <v/>
      </c>
      <c r="H844" s="8" t="str">
        <f aca="false">IF($A844="","",SUBSTITUTE(SUBSTITUTE(SUBSTITUTE($A844&amp;"","~","~~"),"*","~*"),"?","~?"))</f>
        <v/>
      </c>
    </row>
    <row r="845" customFormat="false" ht="15" hidden="false" customHeight="false" outlineLevel="0" collapsed="false">
      <c r="A845" s="11"/>
      <c r="B845" s="6"/>
      <c r="C845" s="11"/>
      <c r="D845" s="11"/>
      <c r="E845" s="8" t="str">
        <f aca="false">IF($A845="","",SUMIFS($C:$C,$A:$A,$H845,$B:$B,"&gt;="&amp;INT($B845),$B:$B,"&lt;"&amp;(INT($B845)+1)))</f>
        <v/>
      </c>
      <c r="F845" s="19" t="str">
        <f aca="false">IF($A845="","",IF(ISNA(MATCH($H845,Buffers!$AE:$AE,0)),"Not on Buffers",IF(NOT(ISNUMBER($B845)),"Needs a date",IF(INT($B845)&lt;PlanDate,"Past due",IF(INT($B845)=PlanDate,"Due today",IF(AND(INDEX(Buffers!$L:$L,MATCH($H845,Buffers!$AE:$AE,0))="Planned",$E845&gt;0,INT($B845)&lt;=PlanDate+ROUNDUP(IF(ISNUMBER(SpikeHorizon),SpikeHorizon,INDEX(Buffers!$D:$D,MATCH($H845,Buffers!$AE:$AE,0))),0),$E845&gt;=SpikePct*INDEX(Buffers!$P:$P,MATCH($H845,Buffers!$AE:$AE,0))),"Spike","Not qualified"))))))</f>
        <v/>
      </c>
      <c r="G845" s="8" t="str">
        <f aca="false">IF($A845="","",IF(OR($F845="Past due",$F845="Due today",$F845="Spike"),$C845,0))</f>
        <v/>
      </c>
      <c r="H845" s="8" t="str">
        <f aca="false">IF($A845="","",SUBSTITUTE(SUBSTITUTE(SUBSTITUTE($A845&amp;"","~","~~"),"*","~*"),"?","~?"))</f>
        <v/>
      </c>
    </row>
    <row r="846" customFormat="false" ht="15" hidden="false" customHeight="false" outlineLevel="0" collapsed="false">
      <c r="A846" s="11"/>
      <c r="B846" s="6"/>
      <c r="C846" s="11"/>
      <c r="D846" s="11"/>
      <c r="E846" s="8" t="str">
        <f aca="false">IF($A846="","",SUMIFS($C:$C,$A:$A,$H846,$B:$B,"&gt;="&amp;INT($B846),$B:$B,"&lt;"&amp;(INT($B846)+1)))</f>
        <v/>
      </c>
      <c r="F846" s="19" t="str">
        <f aca="false">IF($A846="","",IF(ISNA(MATCH($H846,Buffers!$AE:$AE,0)),"Not on Buffers",IF(NOT(ISNUMBER($B846)),"Needs a date",IF(INT($B846)&lt;PlanDate,"Past due",IF(INT($B846)=PlanDate,"Due today",IF(AND(INDEX(Buffers!$L:$L,MATCH($H846,Buffers!$AE:$AE,0))="Planned",$E846&gt;0,INT($B846)&lt;=PlanDate+ROUNDUP(IF(ISNUMBER(SpikeHorizon),SpikeHorizon,INDEX(Buffers!$D:$D,MATCH($H846,Buffers!$AE:$AE,0))),0),$E846&gt;=SpikePct*INDEX(Buffers!$P:$P,MATCH($H846,Buffers!$AE:$AE,0))),"Spike","Not qualified"))))))</f>
        <v/>
      </c>
      <c r="G846" s="8" t="str">
        <f aca="false">IF($A846="","",IF(OR($F846="Past due",$F846="Due today",$F846="Spike"),$C846,0))</f>
        <v/>
      </c>
      <c r="H846" s="8" t="str">
        <f aca="false">IF($A846="","",SUBSTITUTE(SUBSTITUTE(SUBSTITUTE($A846&amp;"","~","~~"),"*","~*"),"?","~?"))</f>
        <v/>
      </c>
    </row>
    <row r="847" customFormat="false" ht="15" hidden="false" customHeight="false" outlineLevel="0" collapsed="false">
      <c r="A847" s="11"/>
      <c r="B847" s="6"/>
      <c r="C847" s="11"/>
      <c r="D847" s="11"/>
      <c r="E847" s="8" t="str">
        <f aca="false">IF($A847="","",SUMIFS($C:$C,$A:$A,$H847,$B:$B,"&gt;="&amp;INT($B847),$B:$B,"&lt;"&amp;(INT($B847)+1)))</f>
        <v/>
      </c>
      <c r="F847" s="19" t="str">
        <f aca="false">IF($A847="","",IF(ISNA(MATCH($H847,Buffers!$AE:$AE,0)),"Not on Buffers",IF(NOT(ISNUMBER($B847)),"Needs a date",IF(INT($B847)&lt;PlanDate,"Past due",IF(INT($B847)=PlanDate,"Due today",IF(AND(INDEX(Buffers!$L:$L,MATCH($H847,Buffers!$AE:$AE,0))="Planned",$E847&gt;0,INT($B847)&lt;=PlanDate+ROUNDUP(IF(ISNUMBER(SpikeHorizon),SpikeHorizon,INDEX(Buffers!$D:$D,MATCH($H847,Buffers!$AE:$AE,0))),0),$E847&gt;=SpikePct*INDEX(Buffers!$P:$P,MATCH($H847,Buffers!$AE:$AE,0))),"Spike","Not qualified"))))))</f>
        <v/>
      </c>
      <c r="G847" s="8" t="str">
        <f aca="false">IF($A847="","",IF(OR($F847="Past due",$F847="Due today",$F847="Spike"),$C847,0))</f>
        <v/>
      </c>
      <c r="H847" s="8" t="str">
        <f aca="false">IF($A847="","",SUBSTITUTE(SUBSTITUTE(SUBSTITUTE($A847&amp;"","~","~~"),"*","~*"),"?","~?"))</f>
        <v/>
      </c>
    </row>
    <row r="848" customFormat="false" ht="15" hidden="false" customHeight="false" outlineLevel="0" collapsed="false">
      <c r="A848" s="11"/>
      <c r="B848" s="6"/>
      <c r="C848" s="11"/>
      <c r="D848" s="11"/>
      <c r="E848" s="8" t="str">
        <f aca="false">IF($A848="","",SUMIFS($C:$C,$A:$A,$H848,$B:$B,"&gt;="&amp;INT($B848),$B:$B,"&lt;"&amp;(INT($B848)+1)))</f>
        <v/>
      </c>
      <c r="F848" s="19" t="str">
        <f aca="false">IF($A848="","",IF(ISNA(MATCH($H848,Buffers!$AE:$AE,0)),"Not on Buffers",IF(NOT(ISNUMBER($B848)),"Needs a date",IF(INT($B848)&lt;PlanDate,"Past due",IF(INT($B848)=PlanDate,"Due today",IF(AND(INDEX(Buffers!$L:$L,MATCH($H848,Buffers!$AE:$AE,0))="Planned",$E848&gt;0,INT($B848)&lt;=PlanDate+ROUNDUP(IF(ISNUMBER(SpikeHorizon),SpikeHorizon,INDEX(Buffers!$D:$D,MATCH($H848,Buffers!$AE:$AE,0))),0),$E848&gt;=SpikePct*INDEX(Buffers!$P:$P,MATCH($H848,Buffers!$AE:$AE,0))),"Spike","Not qualified"))))))</f>
        <v/>
      </c>
      <c r="G848" s="8" t="str">
        <f aca="false">IF($A848="","",IF(OR($F848="Past due",$F848="Due today",$F848="Spike"),$C848,0))</f>
        <v/>
      </c>
      <c r="H848" s="8" t="str">
        <f aca="false">IF($A848="","",SUBSTITUTE(SUBSTITUTE(SUBSTITUTE($A848&amp;"","~","~~"),"*","~*"),"?","~?"))</f>
        <v/>
      </c>
    </row>
    <row r="849" customFormat="false" ht="15" hidden="false" customHeight="false" outlineLevel="0" collapsed="false">
      <c r="A849" s="11"/>
      <c r="B849" s="6"/>
      <c r="C849" s="11"/>
      <c r="D849" s="11"/>
      <c r="E849" s="8" t="str">
        <f aca="false">IF($A849="","",SUMIFS($C:$C,$A:$A,$H849,$B:$B,"&gt;="&amp;INT($B849),$B:$B,"&lt;"&amp;(INT($B849)+1)))</f>
        <v/>
      </c>
      <c r="F849" s="19" t="str">
        <f aca="false">IF($A849="","",IF(ISNA(MATCH($H849,Buffers!$AE:$AE,0)),"Not on Buffers",IF(NOT(ISNUMBER($B849)),"Needs a date",IF(INT($B849)&lt;PlanDate,"Past due",IF(INT($B849)=PlanDate,"Due today",IF(AND(INDEX(Buffers!$L:$L,MATCH($H849,Buffers!$AE:$AE,0))="Planned",$E849&gt;0,INT($B849)&lt;=PlanDate+ROUNDUP(IF(ISNUMBER(SpikeHorizon),SpikeHorizon,INDEX(Buffers!$D:$D,MATCH($H849,Buffers!$AE:$AE,0))),0),$E849&gt;=SpikePct*INDEX(Buffers!$P:$P,MATCH($H849,Buffers!$AE:$AE,0))),"Spike","Not qualified"))))))</f>
        <v/>
      </c>
      <c r="G849" s="8" t="str">
        <f aca="false">IF($A849="","",IF(OR($F849="Past due",$F849="Due today",$F849="Spike"),$C849,0))</f>
        <v/>
      </c>
      <c r="H849" s="8" t="str">
        <f aca="false">IF($A849="","",SUBSTITUTE(SUBSTITUTE(SUBSTITUTE($A849&amp;"","~","~~"),"*","~*"),"?","~?"))</f>
        <v/>
      </c>
    </row>
    <row r="850" customFormat="false" ht="15" hidden="false" customHeight="false" outlineLevel="0" collapsed="false">
      <c r="A850" s="11"/>
      <c r="B850" s="6"/>
      <c r="C850" s="11"/>
      <c r="D850" s="11"/>
      <c r="E850" s="8" t="str">
        <f aca="false">IF($A850="","",SUMIFS($C:$C,$A:$A,$H850,$B:$B,"&gt;="&amp;INT($B850),$B:$B,"&lt;"&amp;(INT($B850)+1)))</f>
        <v/>
      </c>
      <c r="F850" s="19" t="str">
        <f aca="false">IF($A850="","",IF(ISNA(MATCH($H850,Buffers!$AE:$AE,0)),"Not on Buffers",IF(NOT(ISNUMBER($B850)),"Needs a date",IF(INT($B850)&lt;PlanDate,"Past due",IF(INT($B850)=PlanDate,"Due today",IF(AND(INDEX(Buffers!$L:$L,MATCH($H850,Buffers!$AE:$AE,0))="Planned",$E850&gt;0,INT($B850)&lt;=PlanDate+ROUNDUP(IF(ISNUMBER(SpikeHorizon),SpikeHorizon,INDEX(Buffers!$D:$D,MATCH($H850,Buffers!$AE:$AE,0))),0),$E850&gt;=SpikePct*INDEX(Buffers!$P:$P,MATCH($H850,Buffers!$AE:$AE,0))),"Spike","Not qualified"))))))</f>
        <v/>
      </c>
      <c r="G850" s="8" t="str">
        <f aca="false">IF($A850="","",IF(OR($F850="Past due",$F850="Due today",$F850="Spike"),$C850,0))</f>
        <v/>
      </c>
      <c r="H850" s="8" t="str">
        <f aca="false">IF($A850="","",SUBSTITUTE(SUBSTITUTE(SUBSTITUTE($A850&amp;"","~","~~"),"*","~*"),"?","~?"))</f>
        <v/>
      </c>
    </row>
    <row r="851" customFormat="false" ht="15" hidden="false" customHeight="false" outlineLevel="0" collapsed="false">
      <c r="A851" s="11"/>
      <c r="B851" s="6"/>
      <c r="C851" s="11"/>
      <c r="D851" s="11"/>
      <c r="E851" s="8" t="str">
        <f aca="false">IF($A851="","",SUMIFS($C:$C,$A:$A,$H851,$B:$B,"&gt;="&amp;INT($B851),$B:$B,"&lt;"&amp;(INT($B851)+1)))</f>
        <v/>
      </c>
      <c r="F851" s="19" t="str">
        <f aca="false">IF($A851="","",IF(ISNA(MATCH($H851,Buffers!$AE:$AE,0)),"Not on Buffers",IF(NOT(ISNUMBER($B851)),"Needs a date",IF(INT($B851)&lt;PlanDate,"Past due",IF(INT($B851)=PlanDate,"Due today",IF(AND(INDEX(Buffers!$L:$L,MATCH($H851,Buffers!$AE:$AE,0))="Planned",$E851&gt;0,INT($B851)&lt;=PlanDate+ROUNDUP(IF(ISNUMBER(SpikeHorizon),SpikeHorizon,INDEX(Buffers!$D:$D,MATCH($H851,Buffers!$AE:$AE,0))),0),$E851&gt;=SpikePct*INDEX(Buffers!$P:$P,MATCH($H851,Buffers!$AE:$AE,0))),"Spike","Not qualified"))))))</f>
        <v/>
      </c>
      <c r="G851" s="8" t="str">
        <f aca="false">IF($A851="","",IF(OR($F851="Past due",$F851="Due today",$F851="Spike"),$C851,0))</f>
        <v/>
      </c>
      <c r="H851" s="8" t="str">
        <f aca="false">IF($A851="","",SUBSTITUTE(SUBSTITUTE(SUBSTITUTE($A851&amp;"","~","~~"),"*","~*"),"?","~?"))</f>
        <v/>
      </c>
    </row>
    <row r="852" customFormat="false" ht="15" hidden="false" customHeight="false" outlineLevel="0" collapsed="false">
      <c r="A852" s="11"/>
      <c r="B852" s="6"/>
      <c r="C852" s="11"/>
      <c r="D852" s="11"/>
      <c r="E852" s="8" t="str">
        <f aca="false">IF($A852="","",SUMIFS($C:$C,$A:$A,$H852,$B:$B,"&gt;="&amp;INT($B852),$B:$B,"&lt;"&amp;(INT($B852)+1)))</f>
        <v/>
      </c>
      <c r="F852" s="19" t="str">
        <f aca="false">IF($A852="","",IF(ISNA(MATCH($H852,Buffers!$AE:$AE,0)),"Not on Buffers",IF(NOT(ISNUMBER($B852)),"Needs a date",IF(INT($B852)&lt;PlanDate,"Past due",IF(INT($B852)=PlanDate,"Due today",IF(AND(INDEX(Buffers!$L:$L,MATCH($H852,Buffers!$AE:$AE,0))="Planned",$E852&gt;0,INT($B852)&lt;=PlanDate+ROUNDUP(IF(ISNUMBER(SpikeHorizon),SpikeHorizon,INDEX(Buffers!$D:$D,MATCH($H852,Buffers!$AE:$AE,0))),0),$E852&gt;=SpikePct*INDEX(Buffers!$P:$P,MATCH($H852,Buffers!$AE:$AE,0))),"Spike","Not qualified"))))))</f>
        <v/>
      </c>
      <c r="G852" s="8" t="str">
        <f aca="false">IF($A852="","",IF(OR($F852="Past due",$F852="Due today",$F852="Spike"),$C852,0))</f>
        <v/>
      </c>
      <c r="H852" s="8" t="str">
        <f aca="false">IF($A852="","",SUBSTITUTE(SUBSTITUTE(SUBSTITUTE($A852&amp;"","~","~~"),"*","~*"),"?","~?"))</f>
        <v/>
      </c>
    </row>
    <row r="853" customFormat="false" ht="15" hidden="false" customHeight="false" outlineLevel="0" collapsed="false">
      <c r="A853" s="11"/>
      <c r="B853" s="6"/>
      <c r="C853" s="11"/>
      <c r="D853" s="11"/>
      <c r="E853" s="8" t="str">
        <f aca="false">IF($A853="","",SUMIFS($C:$C,$A:$A,$H853,$B:$B,"&gt;="&amp;INT($B853),$B:$B,"&lt;"&amp;(INT($B853)+1)))</f>
        <v/>
      </c>
      <c r="F853" s="19" t="str">
        <f aca="false">IF($A853="","",IF(ISNA(MATCH($H853,Buffers!$AE:$AE,0)),"Not on Buffers",IF(NOT(ISNUMBER($B853)),"Needs a date",IF(INT($B853)&lt;PlanDate,"Past due",IF(INT($B853)=PlanDate,"Due today",IF(AND(INDEX(Buffers!$L:$L,MATCH($H853,Buffers!$AE:$AE,0))="Planned",$E853&gt;0,INT($B853)&lt;=PlanDate+ROUNDUP(IF(ISNUMBER(SpikeHorizon),SpikeHorizon,INDEX(Buffers!$D:$D,MATCH($H853,Buffers!$AE:$AE,0))),0),$E853&gt;=SpikePct*INDEX(Buffers!$P:$P,MATCH($H853,Buffers!$AE:$AE,0))),"Spike","Not qualified"))))))</f>
        <v/>
      </c>
      <c r="G853" s="8" t="str">
        <f aca="false">IF($A853="","",IF(OR($F853="Past due",$F853="Due today",$F853="Spike"),$C853,0))</f>
        <v/>
      </c>
      <c r="H853" s="8" t="str">
        <f aca="false">IF($A853="","",SUBSTITUTE(SUBSTITUTE(SUBSTITUTE($A853&amp;"","~","~~"),"*","~*"),"?","~?"))</f>
        <v/>
      </c>
    </row>
    <row r="854" customFormat="false" ht="15" hidden="false" customHeight="false" outlineLevel="0" collapsed="false">
      <c r="A854" s="11"/>
      <c r="B854" s="6"/>
      <c r="C854" s="11"/>
      <c r="D854" s="11"/>
      <c r="E854" s="8" t="str">
        <f aca="false">IF($A854="","",SUMIFS($C:$C,$A:$A,$H854,$B:$B,"&gt;="&amp;INT($B854),$B:$B,"&lt;"&amp;(INT($B854)+1)))</f>
        <v/>
      </c>
      <c r="F854" s="19" t="str">
        <f aca="false">IF($A854="","",IF(ISNA(MATCH($H854,Buffers!$AE:$AE,0)),"Not on Buffers",IF(NOT(ISNUMBER($B854)),"Needs a date",IF(INT($B854)&lt;PlanDate,"Past due",IF(INT($B854)=PlanDate,"Due today",IF(AND(INDEX(Buffers!$L:$L,MATCH($H854,Buffers!$AE:$AE,0))="Planned",$E854&gt;0,INT($B854)&lt;=PlanDate+ROUNDUP(IF(ISNUMBER(SpikeHorizon),SpikeHorizon,INDEX(Buffers!$D:$D,MATCH($H854,Buffers!$AE:$AE,0))),0),$E854&gt;=SpikePct*INDEX(Buffers!$P:$P,MATCH($H854,Buffers!$AE:$AE,0))),"Spike","Not qualified"))))))</f>
        <v/>
      </c>
      <c r="G854" s="8" t="str">
        <f aca="false">IF($A854="","",IF(OR($F854="Past due",$F854="Due today",$F854="Spike"),$C854,0))</f>
        <v/>
      </c>
      <c r="H854" s="8" t="str">
        <f aca="false">IF($A854="","",SUBSTITUTE(SUBSTITUTE(SUBSTITUTE($A854&amp;"","~","~~"),"*","~*"),"?","~?"))</f>
        <v/>
      </c>
    </row>
    <row r="855" customFormat="false" ht="15" hidden="false" customHeight="false" outlineLevel="0" collapsed="false">
      <c r="A855" s="11"/>
      <c r="B855" s="6"/>
      <c r="C855" s="11"/>
      <c r="D855" s="11"/>
      <c r="E855" s="8" t="str">
        <f aca="false">IF($A855="","",SUMIFS($C:$C,$A:$A,$H855,$B:$B,"&gt;="&amp;INT($B855),$B:$B,"&lt;"&amp;(INT($B855)+1)))</f>
        <v/>
      </c>
      <c r="F855" s="19" t="str">
        <f aca="false">IF($A855="","",IF(ISNA(MATCH($H855,Buffers!$AE:$AE,0)),"Not on Buffers",IF(NOT(ISNUMBER($B855)),"Needs a date",IF(INT($B855)&lt;PlanDate,"Past due",IF(INT($B855)=PlanDate,"Due today",IF(AND(INDEX(Buffers!$L:$L,MATCH($H855,Buffers!$AE:$AE,0))="Planned",$E855&gt;0,INT($B855)&lt;=PlanDate+ROUNDUP(IF(ISNUMBER(SpikeHorizon),SpikeHorizon,INDEX(Buffers!$D:$D,MATCH($H855,Buffers!$AE:$AE,0))),0),$E855&gt;=SpikePct*INDEX(Buffers!$P:$P,MATCH($H855,Buffers!$AE:$AE,0))),"Spike","Not qualified"))))))</f>
        <v/>
      </c>
      <c r="G855" s="8" t="str">
        <f aca="false">IF($A855="","",IF(OR($F855="Past due",$F855="Due today",$F855="Spike"),$C855,0))</f>
        <v/>
      </c>
      <c r="H855" s="8" t="str">
        <f aca="false">IF($A855="","",SUBSTITUTE(SUBSTITUTE(SUBSTITUTE($A855&amp;"","~","~~"),"*","~*"),"?","~?"))</f>
        <v/>
      </c>
    </row>
    <row r="856" customFormat="false" ht="15" hidden="false" customHeight="false" outlineLevel="0" collapsed="false">
      <c r="A856" s="11"/>
      <c r="B856" s="6"/>
      <c r="C856" s="11"/>
      <c r="D856" s="11"/>
      <c r="E856" s="8" t="str">
        <f aca="false">IF($A856="","",SUMIFS($C:$C,$A:$A,$H856,$B:$B,"&gt;="&amp;INT($B856),$B:$B,"&lt;"&amp;(INT($B856)+1)))</f>
        <v/>
      </c>
      <c r="F856" s="19" t="str">
        <f aca="false">IF($A856="","",IF(ISNA(MATCH($H856,Buffers!$AE:$AE,0)),"Not on Buffers",IF(NOT(ISNUMBER($B856)),"Needs a date",IF(INT($B856)&lt;PlanDate,"Past due",IF(INT($B856)=PlanDate,"Due today",IF(AND(INDEX(Buffers!$L:$L,MATCH($H856,Buffers!$AE:$AE,0))="Planned",$E856&gt;0,INT($B856)&lt;=PlanDate+ROUNDUP(IF(ISNUMBER(SpikeHorizon),SpikeHorizon,INDEX(Buffers!$D:$D,MATCH($H856,Buffers!$AE:$AE,0))),0),$E856&gt;=SpikePct*INDEX(Buffers!$P:$P,MATCH($H856,Buffers!$AE:$AE,0))),"Spike","Not qualified"))))))</f>
        <v/>
      </c>
      <c r="G856" s="8" t="str">
        <f aca="false">IF($A856="","",IF(OR($F856="Past due",$F856="Due today",$F856="Spike"),$C856,0))</f>
        <v/>
      </c>
      <c r="H856" s="8" t="str">
        <f aca="false">IF($A856="","",SUBSTITUTE(SUBSTITUTE(SUBSTITUTE($A856&amp;"","~","~~"),"*","~*"),"?","~?"))</f>
        <v/>
      </c>
    </row>
    <row r="857" customFormat="false" ht="15" hidden="false" customHeight="false" outlineLevel="0" collapsed="false">
      <c r="A857" s="11"/>
      <c r="B857" s="6"/>
      <c r="C857" s="11"/>
      <c r="D857" s="11"/>
      <c r="E857" s="8" t="str">
        <f aca="false">IF($A857="","",SUMIFS($C:$C,$A:$A,$H857,$B:$B,"&gt;="&amp;INT($B857),$B:$B,"&lt;"&amp;(INT($B857)+1)))</f>
        <v/>
      </c>
      <c r="F857" s="19" t="str">
        <f aca="false">IF($A857="","",IF(ISNA(MATCH($H857,Buffers!$AE:$AE,0)),"Not on Buffers",IF(NOT(ISNUMBER($B857)),"Needs a date",IF(INT($B857)&lt;PlanDate,"Past due",IF(INT($B857)=PlanDate,"Due today",IF(AND(INDEX(Buffers!$L:$L,MATCH($H857,Buffers!$AE:$AE,0))="Planned",$E857&gt;0,INT($B857)&lt;=PlanDate+ROUNDUP(IF(ISNUMBER(SpikeHorizon),SpikeHorizon,INDEX(Buffers!$D:$D,MATCH($H857,Buffers!$AE:$AE,0))),0),$E857&gt;=SpikePct*INDEX(Buffers!$P:$P,MATCH($H857,Buffers!$AE:$AE,0))),"Spike","Not qualified"))))))</f>
        <v/>
      </c>
      <c r="G857" s="8" t="str">
        <f aca="false">IF($A857="","",IF(OR($F857="Past due",$F857="Due today",$F857="Spike"),$C857,0))</f>
        <v/>
      </c>
      <c r="H857" s="8" t="str">
        <f aca="false">IF($A857="","",SUBSTITUTE(SUBSTITUTE(SUBSTITUTE($A857&amp;"","~","~~"),"*","~*"),"?","~?"))</f>
        <v/>
      </c>
    </row>
    <row r="858" customFormat="false" ht="15" hidden="false" customHeight="false" outlineLevel="0" collapsed="false">
      <c r="A858" s="11"/>
      <c r="B858" s="6"/>
      <c r="C858" s="11"/>
      <c r="D858" s="11"/>
      <c r="E858" s="8" t="str">
        <f aca="false">IF($A858="","",SUMIFS($C:$C,$A:$A,$H858,$B:$B,"&gt;="&amp;INT($B858),$B:$B,"&lt;"&amp;(INT($B858)+1)))</f>
        <v/>
      </c>
      <c r="F858" s="19" t="str">
        <f aca="false">IF($A858="","",IF(ISNA(MATCH($H858,Buffers!$AE:$AE,0)),"Not on Buffers",IF(NOT(ISNUMBER($B858)),"Needs a date",IF(INT($B858)&lt;PlanDate,"Past due",IF(INT($B858)=PlanDate,"Due today",IF(AND(INDEX(Buffers!$L:$L,MATCH($H858,Buffers!$AE:$AE,0))="Planned",$E858&gt;0,INT($B858)&lt;=PlanDate+ROUNDUP(IF(ISNUMBER(SpikeHorizon),SpikeHorizon,INDEX(Buffers!$D:$D,MATCH($H858,Buffers!$AE:$AE,0))),0),$E858&gt;=SpikePct*INDEX(Buffers!$P:$P,MATCH($H858,Buffers!$AE:$AE,0))),"Spike","Not qualified"))))))</f>
        <v/>
      </c>
      <c r="G858" s="8" t="str">
        <f aca="false">IF($A858="","",IF(OR($F858="Past due",$F858="Due today",$F858="Spike"),$C858,0))</f>
        <v/>
      </c>
      <c r="H858" s="8" t="str">
        <f aca="false">IF($A858="","",SUBSTITUTE(SUBSTITUTE(SUBSTITUTE($A858&amp;"","~","~~"),"*","~*"),"?","~?"))</f>
        <v/>
      </c>
    </row>
    <row r="859" customFormat="false" ht="15" hidden="false" customHeight="false" outlineLevel="0" collapsed="false">
      <c r="A859" s="11"/>
      <c r="B859" s="6"/>
      <c r="C859" s="11"/>
      <c r="D859" s="11"/>
      <c r="E859" s="8" t="str">
        <f aca="false">IF($A859="","",SUMIFS($C:$C,$A:$A,$H859,$B:$B,"&gt;="&amp;INT($B859),$B:$B,"&lt;"&amp;(INT($B859)+1)))</f>
        <v/>
      </c>
      <c r="F859" s="19" t="str">
        <f aca="false">IF($A859="","",IF(ISNA(MATCH($H859,Buffers!$AE:$AE,0)),"Not on Buffers",IF(NOT(ISNUMBER($B859)),"Needs a date",IF(INT($B859)&lt;PlanDate,"Past due",IF(INT($B859)=PlanDate,"Due today",IF(AND(INDEX(Buffers!$L:$L,MATCH($H859,Buffers!$AE:$AE,0))="Planned",$E859&gt;0,INT($B859)&lt;=PlanDate+ROUNDUP(IF(ISNUMBER(SpikeHorizon),SpikeHorizon,INDEX(Buffers!$D:$D,MATCH($H859,Buffers!$AE:$AE,0))),0),$E859&gt;=SpikePct*INDEX(Buffers!$P:$P,MATCH($H859,Buffers!$AE:$AE,0))),"Spike","Not qualified"))))))</f>
        <v/>
      </c>
      <c r="G859" s="8" t="str">
        <f aca="false">IF($A859="","",IF(OR($F859="Past due",$F859="Due today",$F859="Spike"),$C859,0))</f>
        <v/>
      </c>
      <c r="H859" s="8" t="str">
        <f aca="false">IF($A859="","",SUBSTITUTE(SUBSTITUTE(SUBSTITUTE($A859&amp;"","~","~~"),"*","~*"),"?","~?"))</f>
        <v/>
      </c>
    </row>
    <row r="860" customFormat="false" ht="15" hidden="false" customHeight="false" outlineLevel="0" collapsed="false">
      <c r="A860" s="11"/>
      <c r="B860" s="6"/>
      <c r="C860" s="11"/>
      <c r="D860" s="11"/>
      <c r="E860" s="8" t="str">
        <f aca="false">IF($A860="","",SUMIFS($C:$C,$A:$A,$H860,$B:$B,"&gt;="&amp;INT($B860),$B:$B,"&lt;"&amp;(INT($B860)+1)))</f>
        <v/>
      </c>
      <c r="F860" s="19" t="str">
        <f aca="false">IF($A860="","",IF(ISNA(MATCH($H860,Buffers!$AE:$AE,0)),"Not on Buffers",IF(NOT(ISNUMBER($B860)),"Needs a date",IF(INT($B860)&lt;PlanDate,"Past due",IF(INT($B860)=PlanDate,"Due today",IF(AND(INDEX(Buffers!$L:$L,MATCH($H860,Buffers!$AE:$AE,0))="Planned",$E860&gt;0,INT($B860)&lt;=PlanDate+ROUNDUP(IF(ISNUMBER(SpikeHorizon),SpikeHorizon,INDEX(Buffers!$D:$D,MATCH($H860,Buffers!$AE:$AE,0))),0),$E860&gt;=SpikePct*INDEX(Buffers!$P:$P,MATCH($H860,Buffers!$AE:$AE,0))),"Spike","Not qualified"))))))</f>
        <v/>
      </c>
      <c r="G860" s="8" t="str">
        <f aca="false">IF($A860="","",IF(OR($F860="Past due",$F860="Due today",$F860="Spike"),$C860,0))</f>
        <v/>
      </c>
      <c r="H860" s="8" t="str">
        <f aca="false">IF($A860="","",SUBSTITUTE(SUBSTITUTE(SUBSTITUTE($A860&amp;"","~","~~"),"*","~*"),"?","~?"))</f>
        <v/>
      </c>
    </row>
    <row r="861" customFormat="false" ht="15" hidden="false" customHeight="false" outlineLevel="0" collapsed="false">
      <c r="A861" s="11"/>
      <c r="B861" s="6"/>
      <c r="C861" s="11"/>
      <c r="D861" s="11"/>
      <c r="E861" s="8" t="str">
        <f aca="false">IF($A861="","",SUMIFS($C:$C,$A:$A,$H861,$B:$B,"&gt;="&amp;INT($B861),$B:$B,"&lt;"&amp;(INT($B861)+1)))</f>
        <v/>
      </c>
      <c r="F861" s="19" t="str">
        <f aca="false">IF($A861="","",IF(ISNA(MATCH($H861,Buffers!$AE:$AE,0)),"Not on Buffers",IF(NOT(ISNUMBER($B861)),"Needs a date",IF(INT($B861)&lt;PlanDate,"Past due",IF(INT($B861)=PlanDate,"Due today",IF(AND(INDEX(Buffers!$L:$L,MATCH($H861,Buffers!$AE:$AE,0))="Planned",$E861&gt;0,INT($B861)&lt;=PlanDate+ROUNDUP(IF(ISNUMBER(SpikeHorizon),SpikeHorizon,INDEX(Buffers!$D:$D,MATCH($H861,Buffers!$AE:$AE,0))),0),$E861&gt;=SpikePct*INDEX(Buffers!$P:$P,MATCH($H861,Buffers!$AE:$AE,0))),"Spike","Not qualified"))))))</f>
        <v/>
      </c>
      <c r="G861" s="8" t="str">
        <f aca="false">IF($A861="","",IF(OR($F861="Past due",$F861="Due today",$F861="Spike"),$C861,0))</f>
        <v/>
      </c>
      <c r="H861" s="8" t="str">
        <f aca="false">IF($A861="","",SUBSTITUTE(SUBSTITUTE(SUBSTITUTE($A861&amp;"","~","~~"),"*","~*"),"?","~?"))</f>
        <v/>
      </c>
    </row>
    <row r="862" customFormat="false" ht="15" hidden="false" customHeight="false" outlineLevel="0" collapsed="false">
      <c r="A862" s="11"/>
      <c r="B862" s="6"/>
      <c r="C862" s="11"/>
      <c r="D862" s="11"/>
      <c r="E862" s="8" t="str">
        <f aca="false">IF($A862="","",SUMIFS($C:$C,$A:$A,$H862,$B:$B,"&gt;="&amp;INT($B862),$B:$B,"&lt;"&amp;(INT($B862)+1)))</f>
        <v/>
      </c>
      <c r="F862" s="19" t="str">
        <f aca="false">IF($A862="","",IF(ISNA(MATCH($H862,Buffers!$AE:$AE,0)),"Not on Buffers",IF(NOT(ISNUMBER($B862)),"Needs a date",IF(INT($B862)&lt;PlanDate,"Past due",IF(INT($B862)=PlanDate,"Due today",IF(AND(INDEX(Buffers!$L:$L,MATCH($H862,Buffers!$AE:$AE,0))="Planned",$E862&gt;0,INT($B862)&lt;=PlanDate+ROUNDUP(IF(ISNUMBER(SpikeHorizon),SpikeHorizon,INDEX(Buffers!$D:$D,MATCH($H862,Buffers!$AE:$AE,0))),0),$E862&gt;=SpikePct*INDEX(Buffers!$P:$P,MATCH($H862,Buffers!$AE:$AE,0))),"Spike","Not qualified"))))))</f>
        <v/>
      </c>
      <c r="G862" s="8" t="str">
        <f aca="false">IF($A862="","",IF(OR($F862="Past due",$F862="Due today",$F862="Spike"),$C862,0))</f>
        <v/>
      </c>
      <c r="H862" s="8" t="str">
        <f aca="false">IF($A862="","",SUBSTITUTE(SUBSTITUTE(SUBSTITUTE($A862&amp;"","~","~~"),"*","~*"),"?","~?"))</f>
        <v/>
      </c>
    </row>
    <row r="863" customFormat="false" ht="15" hidden="false" customHeight="false" outlineLevel="0" collapsed="false">
      <c r="A863" s="11"/>
      <c r="B863" s="6"/>
      <c r="C863" s="11"/>
      <c r="D863" s="11"/>
      <c r="E863" s="8" t="str">
        <f aca="false">IF($A863="","",SUMIFS($C:$C,$A:$A,$H863,$B:$B,"&gt;="&amp;INT($B863),$B:$B,"&lt;"&amp;(INT($B863)+1)))</f>
        <v/>
      </c>
      <c r="F863" s="19" t="str">
        <f aca="false">IF($A863="","",IF(ISNA(MATCH($H863,Buffers!$AE:$AE,0)),"Not on Buffers",IF(NOT(ISNUMBER($B863)),"Needs a date",IF(INT($B863)&lt;PlanDate,"Past due",IF(INT($B863)=PlanDate,"Due today",IF(AND(INDEX(Buffers!$L:$L,MATCH($H863,Buffers!$AE:$AE,0))="Planned",$E863&gt;0,INT($B863)&lt;=PlanDate+ROUNDUP(IF(ISNUMBER(SpikeHorizon),SpikeHorizon,INDEX(Buffers!$D:$D,MATCH($H863,Buffers!$AE:$AE,0))),0),$E863&gt;=SpikePct*INDEX(Buffers!$P:$P,MATCH($H863,Buffers!$AE:$AE,0))),"Spike","Not qualified"))))))</f>
        <v/>
      </c>
      <c r="G863" s="8" t="str">
        <f aca="false">IF($A863="","",IF(OR($F863="Past due",$F863="Due today",$F863="Spike"),$C863,0))</f>
        <v/>
      </c>
      <c r="H863" s="8" t="str">
        <f aca="false">IF($A863="","",SUBSTITUTE(SUBSTITUTE(SUBSTITUTE($A863&amp;"","~","~~"),"*","~*"),"?","~?"))</f>
        <v/>
      </c>
    </row>
    <row r="864" customFormat="false" ht="15" hidden="false" customHeight="false" outlineLevel="0" collapsed="false">
      <c r="A864" s="11"/>
      <c r="B864" s="6"/>
      <c r="C864" s="11"/>
      <c r="D864" s="11"/>
      <c r="E864" s="8" t="str">
        <f aca="false">IF($A864="","",SUMIFS($C:$C,$A:$A,$H864,$B:$B,"&gt;="&amp;INT($B864),$B:$B,"&lt;"&amp;(INT($B864)+1)))</f>
        <v/>
      </c>
      <c r="F864" s="19" t="str">
        <f aca="false">IF($A864="","",IF(ISNA(MATCH($H864,Buffers!$AE:$AE,0)),"Not on Buffers",IF(NOT(ISNUMBER($B864)),"Needs a date",IF(INT($B864)&lt;PlanDate,"Past due",IF(INT($B864)=PlanDate,"Due today",IF(AND(INDEX(Buffers!$L:$L,MATCH($H864,Buffers!$AE:$AE,0))="Planned",$E864&gt;0,INT($B864)&lt;=PlanDate+ROUNDUP(IF(ISNUMBER(SpikeHorizon),SpikeHorizon,INDEX(Buffers!$D:$D,MATCH($H864,Buffers!$AE:$AE,0))),0),$E864&gt;=SpikePct*INDEX(Buffers!$P:$P,MATCH($H864,Buffers!$AE:$AE,0))),"Spike","Not qualified"))))))</f>
        <v/>
      </c>
      <c r="G864" s="8" t="str">
        <f aca="false">IF($A864="","",IF(OR($F864="Past due",$F864="Due today",$F864="Spike"),$C864,0))</f>
        <v/>
      </c>
      <c r="H864" s="8" t="str">
        <f aca="false">IF($A864="","",SUBSTITUTE(SUBSTITUTE(SUBSTITUTE($A864&amp;"","~","~~"),"*","~*"),"?","~?"))</f>
        <v/>
      </c>
    </row>
    <row r="865" customFormat="false" ht="15" hidden="false" customHeight="false" outlineLevel="0" collapsed="false">
      <c r="A865" s="11"/>
      <c r="B865" s="6"/>
      <c r="C865" s="11"/>
      <c r="D865" s="11"/>
      <c r="E865" s="8" t="str">
        <f aca="false">IF($A865="","",SUMIFS($C:$C,$A:$A,$H865,$B:$B,"&gt;="&amp;INT($B865),$B:$B,"&lt;"&amp;(INT($B865)+1)))</f>
        <v/>
      </c>
      <c r="F865" s="19" t="str">
        <f aca="false">IF($A865="","",IF(ISNA(MATCH($H865,Buffers!$AE:$AE,0)),"Not on Buffers",IF(NOT(ISNUMBER($B865)),"Needs a date",IF(INT($B865)&lt;PlanDate,"Past due",IF(INT($B865)=PlanDate,"Due today",IF(AND(INDEX(Buffers!$L:$L,MATCH($H865,Buffers!$AE:$AE,0))="Planned",$E865&gt;0,INT($B865)&lt;=PlanDate+ROUNDUP(IF(ISNUMBER(SpikeHorizon),SpikeHorizon,INDEX(Buffers!$D:$D,MATCH($H865,Buffers!$AE:$AE,0))),0),$E865&gt;=SpikePct*INDEX(Buffers!$P:$P,MATCH($H865,Buffers!$AE:$AE,0))),"Spike","Not qualified"))))))</f>
        <v/>
      </c>
      <c r="G865" s="8" t="str">
        <f aca="false">IF($A865="","",IF(OR($F865="Past due",$F865="Due today",$F865="Spike"),$C865,0))</f>
        <v/>
      </c>
      <c r="H865" s="8" t="str">
        <f aca="false">IF($A865="","",SUBSTITUTE(SUBSTITUTE(SUBSTITUTE($A865&amp;"","~","~~"),"*","~*"),"?","~?"))</f>
        <v/>
      </c>
    </row>
    <row r="866" customFormat="false" ht="15" hidden="false" customHeight="false" outlineLevel="0" collapsed="false">
      <c r="A866" s="11"/>
      <c r="B866" s="6"/>
      <c r="C866" s="11"/>
      <c r="D866" s="11"/>
      <c r="E866" s="8" t="str">
        <f aca="false">IF($A866="","",SUMIFS($C:$C,$A:$A,$H866,$B:$B,"&gt;="&amp;INT($B866),$B:$B,"&lt;"&amp;(INT($B866)+1)))</f>
        <v/>
      </c>
      <c r="F866" s="19" t="str">
        <f aca="false">IF($A866="","",IF(ISNA(MATCH($H866,Buffers!$AE:$AE,0)),"Not on Buffers",IF(NOT(ISNUMBER($B866)),"Needs a date",IF(INT($B866)&lt;PlanDate,"Past due",IF(INT($B866)=PlanDate,"Due today",IF(AND(INDEX(Buffers!$L:$L,MATCH($H866,Buffers!$AE:$AE,0))="Planned",$E866&gt;0,INT($B866)&lt;=PlanDate+ROUNDUP(IF(ISNUMBER(SpikeHorizon),SpikeHorizon,INDEX(Buffers!$D:$D,MATCH($H866,Buffers!$AE:$AE,0))),0),$E866&gt;=SpikePct*INDEX(Buffers!$P:$P,MATCH($H866,Buffers!$AE:$AE,0))),"Spike","Not qualified"))))))</f>
        <v/>
      </c>
      <c r="G866" s="8" t="str">
        <f aca="false">IF($A866="","",IF(OR($F866="Past due",$F866="Due today",$F866="Spike"),$C866,0))</f>
        <v/>
      </c>
      <c r="H866" s="8" t="str">
        <f aca="false">IF($A866="","",SUBSTITUTE(SUBSTITUTE(SUBSTITUTE($A866&amp;"","~","~~"),"*","~*"),"?","~?"))</f>
        <v/>
      </c>
    </row>
    <row r="867" customFormat="false" ht="15" hidden="false" customHeight="false" outlineLevel="0" collapsed="false">
      <c r="A867" s="11"/>
      <c r="B867" s="6"/>
      <c r="C867" s="11"/>
      <c r="D867" s="11"/>
      <c r="E867" s="8" t="str">
        <f aca="false">IF($A867="","",SUMIFS($C:$C,$A:$A,$H867,$B:$B,"&gt;="&amp;INT($B867),$B:$B,"&lt;"&amp;(INT($B867)+1)))</f>
        <v/>
      </c>
      <c r="F867" s="19" t="str">
        <f aca="false">IF($A867="","",IF(ISNA(MATCH($H867,Buffers!$AE:$AE,0)),"Not on Buffers",IF(NOT(ISNUMBER($B867)),"Needs a date",IF(INT($B867)&lt;PlanDate,"Past due",IF(INT($B867)=PlanDate,"Due today",IF(AND(INDEX(Buffers!$L:$L,MATCH($H867,Buffers!$AE:$AE,0))="Planned",$E867&gt;0,INT($B867)&lt;=PlanDate+ROUNDUP(IF(ISNUMBER(SpikeHorizon),SpikeHorizon,INDEX(Buffers!$D:$D,MATCH($H867,Buffers!$AE:$AE,0))),0),$E867&gt;=SpikePct*INDEX(Buffers!$P:$P,MATCH($H867,Buffers!$AE:$AE,0))),"Spike","Not qualified"))))))</f>
        <v/>
      </c>
      <c r="G867" s="8" t="str">
        <f aca="false">IF($A867="","",IF(OR($F867="Past due",$F867="Due today",$F867="Spike"),$C867,0))</f>
        <v/>
      </c>
      <c r="H867" s="8" t="str">
        <f aca="false">IF($A867="","",SUBSTITUTE(SUBSTITUTE(SUBSTITUTE($A867&amp;"","~","~~"),"*","~*"),"?","~?"))</f>
        <v/>
      </c>
    </row>
    <row r="868" customFormat="false" ht="15" hidden="false" customHeight="false" outlineLevel="0" collapsed="false">
      <c r="A868" s="11"/>
      <c r="B868" s="6"/>
      <c r="C868" s="11"/>
      <c r="D868" s="11"/>
      <c r="E868" s="8" t="str">
        <f aca="false">IF($A868="","",SUMIFS($C:$C,$A:$A,$H868,$B:$B,"&gt;="&amp;INT($B868),$B:$B,"&lt;"&amp;(INT($B868)+1)))</f>
        <v/>
      </c>
      <c r="F868" s="19" t="str">
        <f aca="false">IF($A868="","",IF(ISNA(MATCH($H868,Buffers!$AE:$AE,0)),"Not on Buffers",IF(NOT(ISNUMBER($B868)),"Needs a date",IF(INT($B868)&lt;PlanDate,"Past due",IF(INT($B868)=PlanDate,"Due today",IF(AND(INDEX(Buffers!$L:$L,MATCH($H868,Buffers!$AE:$AE,0))="Planned",$E868&gt;0,INT($B868)&lt;=PlanDate+ROUNDUP(IF(ISNUMBER(SpikeHorizon),SpikeHorizon,INDEX(Buffers!$D:$D,MATCH($H868,Buffers!$AE:$AE,0))),0),$E868&gt;=SpikePct*INDEX(Buffers!$P:$P,MATCH($H868,Buffers!$AE:$AE,0))),"Spike","Not qualified"))))))</f>
        <v/>
      </c>
      <c r="G868" s="8" t="str">
        <f aca="false">IF($A868="","",IF(OR($F868="Past due",$F868="Due today",$F868="Spike"),$C868,0))</f>
        <v/>
      </c>
      <c r="H868" s="8" t="str">
        <f aca="false">IF($A868="","",SUBSTITUTE(SUBSTITUTE(SUBSTITUTE($A868&amp;"","~","~~"),"*","~*"),"?","~?"))</f>
        <v/>
      </c>
    </row>
    <row r="869" customFormat="false" ht="15" hidden="false" customHeight="false" outlineLevel="0" collapsed="false">
      <c r="A869" s="11"/>
      <c r="B869" s="6"/>
      <c r="C869" s="11"/>
      <c r="D869" s="11"/>
      <c r="E869" s="8" t="str">
        <f aca="false">IF($A869="","",SUMIFS($C:$C,$A:$A,$H869,$B:$B,"&gt;="&amp;INT($B869),$B:$B,"&lt;"&amp;(INT($B869)+1)))</f>
        <v/>
      </c>
      <c r="F869" s="19" t="str">
        <f aca="false">IF($A869="","",IF(ISNA(MATCH($H869,Buffers!$AE:$AE,0)),"Not on Buffers",IF(NOT(ISNUMBER($B869)),"Needs a date",IF(INT($B869)&lt;PlanDate,"Past due",IF(INT($B869)=PlanDate,"Due today",IF(AND(INDEX(Buffers!$L:$L,MATCH($H869,Buffers!$AE:$AE,0))="Planned",$E869&gt;0,INT($B869)&lt;=PlanDate+ROUNDUP(IF(ISNUMBER(SpikeHorizon),SpikeHorizon,INDEX(Buffers!$D:$D,MATCH($H869,Buffers!$AE:$AE,0))),0),$E869&gt;=SpikePct*INDEX(Buffers!$P:$P,MATCH($H869,Buffers!$AE:$AE,0))),"Spike","Not qualified"))))))</f>
        <v/>
      </c>
      <c r="G869" s="8" t="str">
        <f aca="false">IF($A869="","",IF(OR($F869="Past due",$F869="Due today",$F869="Spike"),$C869,0))</f>
        <v/>
      </c>
      <c r="H869" s="8" t="str">
        <f aca="false">IF($A869="","",SUBSTITUTE(SUBSTITUTE(SUBSTITUTE($A869&amp;"","~","~~"),"*","~*"),"?","~?"))</f>
        <v/>
      </c>
    </row>
    <row r="870" customFormat="false" ht="15" hidden="false" customHeight="false" outlineLevel="0" collapsed="false">
      <c r="A870" s="11"/>
      <c r="B870" s="6"/>
      <c r="C870" s="11"/>
      <c r="D870" s="11"/>
      <c r="E870" s="8" t="str">
        <f aca="false">IF($A870="","",SUMIFS($C:$C,$A:$A,$H870,$B:$B,"&gt;="&amp;INT($B870),$B:$B,"&lt;"&amp;(INT($B870)+1)))</f>
        <v/>
      </c>
      <c r="F870" s="19" t="str">
        <f aca="false">IF($A870="","",IF(ISNA(MATCH($H870,Buffers!$AE:$AE,0)),"Not on Buffers",IF(NOT(ISNUMBER($B870)),"Needs a date",IF(INT($B870)&lt;PlanDate,"Past due",IF(INT($B870)=PlanDate,"Due today",IF(AND(INDEX(Buffers!$L:$L,MATCH($H870,Buffers!$AE:$AE,0))="Planned",$E870&gt;0,INT($B870)&lt;=PlanDate+ROUNDUP(IF(ISNUMBER(SpikeHorizon),SpikeHorizon,INDEX(Buffers!$D:$D,MATCH($H870,Buffers!$AE:$AE,0))),0),$E870&gt;=SpikePct*INDEX(Buffers!$P:$P,MATCH($H870,Buffers!$AE:$AE,0))),"Spike","Not qualified"))))))</f>
        <v/>
      </c>
      <c r="G870" s="8" t="str">
        <f aca="false">IF($A870="","",IF(OR($F870="Past due",$F870="Due today",$F870="Spike"),$C870,0))</f>
        <v/>
      </c>
      <c r="H870" s="8" t="str">
        <f aca="false">IF($A870="","",SUBSTITUTE(SUBSTITUTE(SUBSTITUTE($A870&amp;"","~","~~"),"*","~*"),"?","~?"))</f>
        <v/>
      </c>
    </row>
    <row r="871" customFormat="false" ht="15" hidden="false" customHeight="false" outlineLevel="0" collapsed="false">
      <c r="A871" s="11"/>
      <c r="B871" s="6"/>
      <c r="C871" s="11"/>
      <c r="D871" s="11"/>
      <c r="E871" s="8" t="str">
        <f aca="false">IF($A871="","",SUMIFS($C:$C,$A:$A,$H871,$B:$B,"&gt;="&amp;INT($B871),$B:$B,"&lt;"&amp;(INT($B871)+1)))</f>
        <v/>
      </c>
      <c r="F871" s="19" t="str">
        <f aca="false">IF($A871="","",IF(ISNA(MATCH($H871,Buffers!$AE:$AE,0)),"Not on Buffers",IF(NOT(ISNUMBER($B871)),"Needs a date",IF(INT($B871)&lt;PlanDate,"Past due",IF(INT($B871)=PlanDate,"Due today",IF(AND(INDEX(Buffers!$L:$L,MATCH($H871,Buffers!$AE:$AE,0))="Planned",$E871&gt;0,INT($B871)&lt;=PlanDate+ROUNDUP(IF(ISNUMBER(SpikeHorizon),SpikeHorizon,INDEX(Buffers!$D:$D,MATCH($H871,Buffers!$AE:$AE,0))),0),$E871&gt;=SpikePct*INDEX(Buffers!$P:$P,MATCH($H871,Buffers!$AE:$AE,0))),"Spike","Not qualified"))))))</f>
        <v/>
      </c>
      <c r="G871" s="8" t="str">
        <f aca="false">IF($A871="","",IF(OR($F871="Past due",$F871="Due today",$F871="Spike"),$C871,0))</f>
        <v/>
      </c>
      <c r="H871" s="8" t="str">
        <f aca="false">IF($A871="","",SUBSTITUTE(SUBSTITUTE(SUBSTITUTE($A871&amp;"","~","~~"),"*","~*"),"?","~?"))</f>
        <v/>
      </c>
    </row>
    <row r="872" customFormat="false" ht="15" hidden="false" customHeight="false" outlineLevel="0" collapsed="false">
      <c r="A872" s="11"/>
      <c r="B872" s="6"/>
      <c r="C872" s="11"/>
      <c r="D872" s="11"/>
      <c r="E872" s="8" t="str">
        <f aca="false">IF($A872="","",SUMIFS($C:$C,$A:$A,$H872,$B:$B,"&gt;="&amp;INT($B872),$B:$B,"&lt;"&amp;(INT($B872)+1)))</f>
        <v/>
      </c>
      <c r="F872" s="19" t="str">
        <f aca="false">IF($A872="","",IF(ISNA(MATCH($H872,Buffers!$AE:$AE,0)),"Not on Buffers",IF(NOT(ISNUMBER($B872)),"Needs a date",IF(INT($B872)&lt;PlanDate,"Past due",IF(INT($B872)=PlanDate,"Due today",IF(AND(INDEX(Buffers!$L:$L,MATCH($H872,Buffers!$AE:$AE,0))="Planned",$E872&gt;0,INT($B872)&lt;=PlanDate+ROUNDUP(IF(ISNUMBER(SpikeHorizon),SpikeHorizon,INDEX(Buffers!$D:$D,MATCH($H872,Buffers!$AE:$AE,0))),0),$E872&gt;=SpikePct*INDEX(Buffers!$P:$P,MATCH($H872,Buffers!$AE:$AE,0))),"Spike","Not qualified"))))))</f>
        <v/>
      </c>
      <c r="G872" s="8" t="str">
        <f aca="false">IF($A872="","",IF(OR($F872="Past due",$F872="Due today",$F872="Spike"),$C872,0))</f>
        <v/>
      </c>
      <c r="H872" s="8" t="str">
        <f aca="false">IF($A872="","",SUBSTITUTE(SUBSTITUTE(SUBSTITUTE($A872&amp;"","~","~~"),"*","~*"),"?","~?"))</f>
        <v/>
      </c>
    </row>
    <row r="873" customFormat="false" ht="15" hidden="false" customHeight="false" outlineLevel="0" collapsed="false">
      <c r="A873" s="11"/>
      <c r="B873" s="6"/>
      <c r="C873" s="11"/>
      <c r="D873" s="11"/>
      <c r="E873" s="8" t="str">
        <f aca="false">IF($A873="","",SUMIFS($C:$C,$A:$A,$H873,$B:$B,"&gt;="&amp;INT($B873),$B:$B,"&lt;"&amp;(INT($B873)+1)))</f>
        <v/>
      </c>
      <c r="F873" s="19" t="str">
        <f aca="false">IF($A873="","",IF(ISNA(MATCH($H873,Buffers!$AE:$AE,0)),"Not on Buffers",IF(NOT(ISNUMBER($B873)),"Needs a date",IF(INT($B873)&lt;PlanDate,"Past due",IF(INT($B873)=PlanDate,"Due today",IF(AND(INDEX(Buffers!$L:$L,MATCH($H873,Buffers!$AE:$AE,0))="Planned",$E873&gt;0,INT($B873)&lt;=PlanDate+ROUNDUP(IF(ISNUMBER(SpikeHorizon),SpikeHorizon,INDEX(Buffers!$D:$D,MATCH($H873,Buffers!$AE:$AE,0))),0),$E873&gt;=SpikePct*INDEX(Buffers!$P:$P,MATCH($H873,Buffers!$AE:$AE,0))),"Spike","Not qualified"))))))</f>
        <v/>
      </c>
      <c r="G873" s="8" t="str">
        <f aca="false">IF($A873="","",IF(OR($F873="Past due",$F873="Due today",$F873="Spike"),$C873,0))</f>
        <v/>
      </c>
      <c r="H873" s="8" t="str">
        <f aca="false">IF($A873="","",SUBSTITUTE(SUBSTITUTE(SUBSTITUTE($A873&amp;"","~","~~"),"*","~*"),"?","~?"))</f>
        <v/>
      </c>
    </row>
    <row r="874" customFormat="false" ht="15" hidden="false" customHeight="false" outlineLevel="0" collapsed="false">
      <c r="A874" s="11"/>
      <c r="B874" s="6"/>
      <c r="C874" s="11"/>
      <c r="D874" s="11"/>
      <c r="E874" s="8" t="str">
        <f aca="false">IF($A874="","",SUMIFS($C:$C,$A:$A,$H874,$B:$B,"&gt;="&amp;INT($B874),$B:$B,"&lt;"&amp;(INT($B874)+1)))</f>
        <v/>
      </c>
      <c r="F874" s="19" t="str">
        <f aca="false">IF($A874="","",IF(ISNA(MATCH($H874,Buffers!$AE:$AE,0)),"Not on Buffers",IF(NOT(ISNUMBER($B874)),"Needs a date",IF(INT($B874)&lt;PlanDate,"Past due",IF(INT($B874)=PlanDate,"Due today",IF(AND(INDEX(Buffers!$L:$L,MATCH($H874,Buffers!$AE:$AE,0))="Planned",$E874&gt;0,INT($B874)&lt;=PlanDate+ROUNDUP(IF(ISNUMBER(SpikeHorizon),SpikeHorizon,INDEX(Buffers!$D:$D,MATCH($H874,Buffers!$AE:$AE,0))),0),$E874&gt;=SpikePct*INDEX(Buffers!$P:$P,MATCH($H874,Buffers!$AE:$AE,0))),"Spike","Not qualified"))))))</f>
        <v/>
      </c>
      <c r="G874" s="8" t="str">
        <f aca="false">IF($A874="","",IF(OR($F874="Past due",$F874="Due today",$F874="Spike"),$C874,0))</f>
        <v/>
      </c>
      <c r="H874" s="8" t="str">
        <f aca="false">IF($A874="","",SUBSTITUTE(SUBSTITUTE(SUBSTITUTE($A874&amp;"","~","~~"),"*","~*"),"?","~?"))</f>
        <v/>
      </c>
    </row>
    <row r="875" customFormat="false" ht="15" hidden="false" customHeight="false" outlineLevel="0" collapsed="false">
      <c r="A875" s="11"/>
      <c r="B875" s="6"/>
      <c r="C875" s="11"/>
      <c r="D875" s="11"/>
      <c r="E875" s="8" t="str">
        <f aca="false">IF($A875="","",SUMIFS($C:$C,$A:$A,$H875,$B:$B,"&gt;="&amp;INT($B875),$B:$B,"&lt;"&amp;(INT($B875)+1)))</f>
        <v/>
      </c>
      <c r="F875" s="19" t="str">
        <f aca="false">IF($A875="","",IF(ISNA(MATCH($H875,Buffers!$AE:$AE,0)),"Not on Buffers",IF(NOT(ISNUMBER($B875)),"Needs a date",IF(INT($B875)&lt;PlanDate,"Past due",IF(INT($B875)=PlanDate,"Due today",IF(AND(INDEX(Buffers!$L:$L,MATCH($H875,Buffers!$AE:$AE,0))="Planned",$E875&gt;0,INT($B875)&lt;=PlanDate+ROUNDUP(IF(ISNUMBER(SpikeHorizon),SpikeHorizon,INDEX(Buffers!$D:$D,MATCH($H875,Buffers!$AE:$AE,0))),0),$E875&gt;=SpikePct*INDEX(Buffers!$P:$P,MATCH($H875,Buffers!$AE:$AE,0))),"Spike","Not qualified"))))))</f>
        <v/>
      </c>
      <c r="G875" s="8" t="str">
        <f aca="false">IF($A875="","",IF(OR($F875="Past due",$F875="Due today",$F875="Spike"),$C875,0))</f>
        <v/>
      </c>
      <c r="H875" s="8" t="str">
        <f aca="false">IF($A875="","",SUBSTITUTE(SUBSTITUTE(SUBSTITUTE($A875&amp;"","~","~~"),"*","~*"),"?","~?"))</f>
        <v/>
      </c>
    </row>
    <row r="876" customFormat="false" ht="15" hidden="false" customHeight="false" outlineLevel="0" collapsed="false">
      <c r="A876" s="11"/>
      <c r="B876" s="6"/>
      <c r="C876" s="11"/>
      <c r="D876" s="11"/>
      <c r="E876" s="8" t="str">
        <f aca="false">IF($A876="","",SUMIFS($C:$C,$A:$A,$H876,$B:$B,"&gt;="&amp;INT($B876),$B:$B,"&lt;"&amp;(INT($B876)+1)))</f>
        <v/>
      </c>
      <c r="F876" s="19" t="str">
        <f aca="false">IF($A876="","",IF(ISNA(MATCH($H876,Buffers!$AE:$AE,0)),"Not on Buffers",IF(NOT(ISNUMBER($B876)),"Needs a date",IF(INT($B876)&lt;PlanDate,"Past due",IF(INT($B876)=PlanDate,"Due today",IF(AND(INDEX(Buffers!$L:$L,MATCH($H876,Buffers!$AE:$AE,0))="Planned",$E876&gt;0,INT($B876)&lt;=PlanDate+ROUNDUP(IF(ISNUMBER(SpikeHorizon),SpikeHorizon,INDEX(Buffers!$D:$D,MATCH($H876,Buffers!$AE:$AE,0))),0),$E876&gt;=SpikePct*INDEX(Buffers!$P:$P,MATCH($H876,Buffers!$AE:$AE,0))),"Spike","Not qualified"))))))</f>
        <v/>
      </c>
      <c r="G876" s="8" t="str">
        <f aca="false">IF($A876="","",IF(OR($F876="Past due",$F876="Due today",$F876="Spike"),$C876,0))</f>
        <v/>
      </c>
      <c r="H876" s="8" t="str">
        <f aca="false">IF($A876="","",SUBSTITUTE(SUBSTITUTE(SUBSTITUTE($A876&amp;"","~","~~"),"*","~*"),"?","~?"))</f>
        <v/>
      </c>
    </row>
    <row r="877" customFormat="false" ht="15" hidden="false" customHeight="false" outlineLevel="0" collapsed="false">
      <c r="A877" s="11"/>
      <c r="B877" s="6"/>
      <c r="C877" s="11"/>
      <c r="D877" s="11"/>
      <c r="E877" s="8" t="str">
        <f aca="false">IF($A877="","",SUMIFS($C:$C,$A:$A,$H877,$B:$B,"&gt;="&amp;INT($B877),$B:$B,"&lt;"&amp;(INT($B877)+1)))</f>
        <v/>
      </c>
      <c r="F877" s="19" t="str">
        <f aca="false">IF($A877="","",IF(ISNA(MATCH($H877,Buffers!$AE:$AE,0)),"Not on Buffers",IF(NOT(ISNUMBER($B877)),"Needs a date",IF(INT($B877)&lt;PlanDate,"Past due",IF(INT($B877)=PlanDate,"Due today",IF(AND(INDEX(Buffers!$L:$L,MATCH($H877,Buffers!$AE:$AE,0))="Planned",$E877&gt;0,INT($B877)&lt;=PlanDate+ROUNDUP(IF(ISNUMBER(SpikeHorizon),SpikeHorizon,INDEX(Buffers!$D:$D,MATCH($H877,Buffers!$AE:$AE,0))),0),$E877&gt;=SpikePct*INDEX(Buffers!$P:$P,MATCH($H877,Buffers!$AE:$AE,0))),"Spike","Not qualified"))))))</f>
        <v/>
      </c>
      <c r="G877" s="8" t="str">
        <f aca="false">IF($A877="","",IF(OR($F877="Past due",$F877="Due today",$F877="Spike"),$C877,0))</f>
        <v/>
      </c>
      <c r="H877" s="8" t="str">
        <f aca="false">IF($A877="","",SUBSTITUTE(SUBSTITUTE(SUBSTITUTE($A877&amp;"","~","~~"),"*","~*"),"?","~?"))</f>
        <v/>
      </c>
    </row>
    <row r="878" customFormat="false" ht="15" hidden="false" customHeight="false" outlineLevel="0" collapsed="false">
      <c r="A878" s="11"/>
      <c r="B878" s="6"/>
      <c r="C878" s="11"/>
      <c r="D878" s="11"/>
      <c r="E878" s="8" t="str">
        <f aca="false">IF($A878="","",SUMIFS($C:$C,$A:$A,$H878,$B:$B,"&gt;="&amp;INT($B878),$B:$B,"&lt;"&amp;(INT($B878)+1)))</f>
        <v/>
      </c>
      <c r="F878" s="19" t="str">
        <f aca="false">IF($A878="","",IF(ISNA(MATCH($H878,Buffers!$AE:$AE,0)),"Not on Buffers",IF(NOT(ISNUMBER($B878)),"Needs a date",IF(INT($B878)&lt;PlanDate,"Past due",IF(INT($B878)=PlanDate,"Due today",IF(AND(INDEX(Buffers!$L:$L,MATCH($H878,Buffers!$AE:$AE,0))="Planned",$E878&gt;0,INT($B878)&lt;=PlanDate+ROUNDUP(IF(ISNUMBER(SpikeHorizon),SpikeHorizon,INDEX(Buffers!$D:$D,MATCH($H878,Buffers!$AE:$AE,0))),0),$E878&gt;=SpikePct*INDEX(Buffers!$P:$P,MATCH($H878,Buffers!$AE:$AE,0))),"Spike","Not qualified"))))))</f>
        <v/>
      </c>
      <c r="G878" s="8" t="str">
        <f aca="false">IF($A878="","",IF(OR($F878="Past due",$F878="Due today",$F878="Spike"),$C878,0))</f>
        <v/>
      </c>
      <c r="H878" s="8" t="str">
        <f aca="false">IF($A878="","",SUBSTITUTE(SUBSTITUTE(SUBSTITUTE($A878&amp;"","~","~~"),"*","~*"),"?","~?"))</f>
        <v/>
      </c>
    </row>
    <row r="879" customFormat="false" ht="15" hidden="false" customHeight="false" outlineLevel="0" collapsed="false">
      <c r="A879" s="11"/>
      <c r="B879" s="6"/>
      <c r="C879" s="11"/>
      <c r="D879" s="11"/>
      <c r="E879" s="8" t="str">
        <f aca="false">IF($A879="","",SUMIFS($C:$C,$A:$A,$H879,$B:$B,"&gt;="&amp;INT($B879),$B:$B,"&lt;"&amp;(INT($B879)+1)))</f>
        <v/>
      </c>
      <c r="F879" s="19" t="str">
        <f aca="false">IF($A879="","",IF(ISNA(MATCH($H879,Buffers!$AE:$AE,0)),"Not on Buffers",IF(NOT(ISNUMBER($B879)),"Needs a date",IF(INT($B879)&lt;PlanDate,"Past due",IF(INT($B879)=PlanDate,"Due today",IF(AND(INDEX(Buffers!$L:$L,MATCH($H879,Buffers!$AE:$AE,0))="Planned",$E879&gt;0,INT($B879)&lt;=PlanDate+ROUNDUP(IF(ISNUMBER(SpikeHorizon),SpikeHorizon,INDEX(Buffers!$D:$D,MATCH($H879,Buffers!$AE:$AE,0))),0),$E879&gt;=SpikePct*INDEX(Buffers!$P:$P,MATCH($H879,Buffers!$AE:$AE,0))),"Spike","Not qualified"))))))</f>
        <v/>
      </c>
      <c r="G879" s="8" t="str">
        <f aca="false">IF($A879="","",IF(OR($F879="Past due",$F879="Due today",$F879="Spike"),$C879,0))</f>
        <v/>
      </c>
      <c r="H879" s="8" t="str">
        <f aca="false">IF($A879="","",SUBSTITUTE(SUBSTITUTE(SUBSTITUTE($A879&amp;"","~","~~"),"*","~*"),"?","~?"))</f>
        <v/>
      </c>
    </row>
    <row r="880" customFormat="false" ht="15" hidden="false" customHeight="false" outlineLevel="0" collapsed="false">
      <c r="A880" s="11"/>
      <c r="B880" s="6"/>
      <c r="C880" s="11"/>
      <c r="D880" s="11"/>
      <c r="E880" s="8" t="str">
        <f aca="false">IF($A880="","",SUMIFS($C:$C,$A:$A,$H880,$B:$B,"&gt;="&amp;INT($B880),$B:$B,"&lt;"&amp;(INT($B880)+1)))</f>
        <v/>
      </c>
      <c r="F880" s="19" t="str">
        <f aca="false">IF($A880="","",IF(ISNA(MATCH($H880,Buffers!$AE:$AE,0)),"Not on Buffers",IF(NOT(ISNUMBER($B880)),"Needs a date",IF(INT($B880)&lt;PlanDate,"Past due",IF(INT($B880)=PlanDate,"Due today",IF(AND(INDEX(Buffers!$L:$L,MATCH($H880,Buffers!$AE:$AE,0))="Planned",$E880&gt;0,INT($B880)&lt;=PlanDate+ROUNDUP(IF(ISNUMBER(SpikeHorizon),SpikeHorizon,INDEX(Buffers!$D:$D,MATCH($H880,Buffers!$AE:$AE,0))),0),$E880&gt;=SpikePct*INDEX(Buffers!$P:$P,MATCH($H880,Buffers!$AE:$AE,0))),"Spike","Not qualified"))))))</f>
        <v/>
      </c>
      <c r="G880" s="8" t="str">
        <f aca="false">IF($A880="","",IF(OR($F880="Past due",$F880="Due today",$F880="Spike"),$C880,0))</f>
        <v/>
      </c>
      <c r="H880" s="8" t="str">
        <f aca="false">IF($A880="","",SUBSTITUTE(SUBSTITUTE(SUBSTITUTE($A880&amp;"","~","~~"),"*","~*"),"?","~?"))</f>
        <v/>
      </c>
    </row>
    <row r="881" customFormat="false" ht="15" hidden="false" customHeight="false" outlineLevel="0" collapsed="false">
      <c r="A881" s="11"/>
      <c r="B881" s="6"/>
      <c r="C881" s="11"/>
      <c r="D881" s="11"/>
      <c r="E881" s="8" t="str">
        <f aca="false">IF($A881="","",SUMIFS($C:$C,$A:$A,$H881,$B:$B,"&gt;="&amp;INT($B881),$B:$B,"&lt;"&amp;(INT($B881)+1)))</f>
        <v/>
      </c>
      <c r="F881" s="19" t="str">
        <f aca="false">IF($A881="","",IF(ISNA(MATCH($H881,Buffers!$AE:$AE,0)),"Not on Buffers",IF(NOT(ISNUMBER($B881)),"Needs a date",IF(INT($B881)&lt;PlanDate,"Past due",IF(INT($B881)=PlanDate,"Due today",IF(AND(INDEX(Buffers!$L:$L,MATCH($H881,Buffers!$AE:$AE,0))="Planned",$E881&gt;0,INT($B881)&lt;=PlanDate+ROUNDUP(IF(ISNUMBER(SpikeHorizon),SpikeHorizon,INDEX(Buffers!$D:$D,MATCH($H881,Buffers!$AE:$AE,0))),0),$E881&gt;=SpikePct*INDEX(Buffers!$P:$P,MATCH($H881,Buffers!$AE:$AE,0))),"Spike","Not qualified"))))))</f>
        <v/>
      </c>
      <c r="G881" s="8" t="str">
        <f aca="false">IF($A881="","",IF(OR($F881="Past due",$F881="Due today",$F881="Spike"),$C881,0))</f>
        <v/>
      </c>
      <c r="H881" s="8" t="str">
        <f aca="false">IF($A881="","",SUBSTITUTE(SUBSTITUTE(SUBSTITUTE($A881&amp;"","~","~~"),"*","~*"),"?","~?"))</f>
        <v/>
      </c>
    </row>
    <row r="882" customFormat="false" ht="15" hidden="false" customHeight="false" outlineLevel="0" collapsed="false">
      <c r="A882" s="11"/>
      <c r="B882" s="6"/>
      <c r="C882" s="11"/>
      <c r="D882" s="11"/>
      <c r="E882" s="8" t="str">
        <f aca="false">IF($A882="","",SUMIFS($C:$C,$A:$A,$H882,$B:$B,"&gt;="&amp;INT($B882),$B:$B,"&lt;"&amp;(INT($B882)+1)))</f>
        <v/>
      </c>
      <c r="F882" s="19" t="str">
        <f aca="false">IF($A882="","",IF(ISNA(MATCH($H882,Buffers!$AE:$AE,0)),"Not on Buffers",IF(NOT(ISNUMBER($B882)),"Needs a date",IF(INT($B882)&lt;PlanDate,"Past due",IF(INT($B882)=PlanDate,"Due today",IF(AND(INDEX(Buffers!$L:$L,MATCH($H882,Buffers!$AE:$AE,0))="Planned",$E882&gt;0,INT($B882)&lt;=PlanDate+ROUNDUP(IF(ISNUMBER(SpikeHorizon),SpikeHorizon,INDEX(Buffers!$D:$D,MATCH($H882,Buffers!$AE:$AE,0))),0),$E882&gt;=SpikePct*INDEX(Buffers!$P:$P,MATCH($H882,Buffers!$AE:$AE,0))),"Spike","Not qualified"))))))</f>
        <v/>
      </c>
      <c r="G882" s="8" t="str">
        <f aca="false">IF($A882="","",IF(OR($F882="Past due",$F882="Due today",$F882="Spike"),$C882,0))</f>
        <v/>
      </c>
      <c r="H882" s="8" t="str">
        <f aca="false">IF($A882="","",SUBSTITUTE(SUBSTITUTE(SUBSTITUTE($A882&amp;"","~","~~"),"*","~*"),"?","~?"))</f>
        <v/>
      </c>
    </row>
    <row r="883" customFormat="false" ht="15" hidden="false" customHeight="false" outlineLevel="0" collapsed="false">
      <c r="A883" s="11"/>
      <c r="B883" s="6"/>
      <c r="C883" s="11"/>
      <c r="D883" s="11"/>
      <c r="E883" s="8" t="str">
        <f aca="false">IF($A883="","",SUMIFS($C:$C,$A:$A,$H883,$B:$B,"&gt;="&amp;INT($B883),$B:$B,"&lt;"&amp;(INT($B883)+1)))</f>
        <v/>
      </c>
      <c r="F883" s="19" t="str">
        <f aca="false">IF($A883="","",IF(ISNA(MATCH($H883,Buffers!$AE:$AE,0)),"Not on Buffers",IF(NOT(ISNUMBER($B883)),"Needs a date",IF(INT($B883)&lt;PlanDate,"Past due",IF(INT($B883)=PlanDate,"Due today",IF(AND(INDEX(Buffers!$L:$L,MATCH($H883,Buffers!$AE:$AE,0))="Planned",$E883&gt;0,INT($B883)&lt;=PlanDate+ROUNDUP(IF(ISNUMBER(SpikeHorizon),SpikeHorizon,INDEX(Buffers!$D:$D,MATCH($H883,Buffers!$AE:$AE,0))),0),$E883&gt;=SpikePct*INDEX(Buffers!$P:$P,MATCH($H883,Buffers!$AE:$AE,0))),"Spike","Not qualified"))))))</f>
        <v/>
      </c>
      <c r="G883" s="8" t="str">
        <f aca="false">IF($A883="","",IF(OR($F883="Past due",$F883="Due today",$F883="Spike"),$C883,0))</f>
        <v/>
      </c>
      <c r="H883" s="8" t="str">
        <f aca="false">IF($A883="","",SUBSTITUTE(SUBSTITUTE(SUBSTITUTE($A883&amp;"","~","~~"),"*","~*"),"?","~?"))</f>
        <v/>
      </c>
    </row>
    <row r="884" customFormat="false" ht="15" hidden="false" customHeight="false" outlineLevel="0" collapsed="false">
      <c r="A884" s="11"/>
      <c r="B884" s="6"/>
      <c r="C884" s="11"/>
      <c r="D884" s="11"/>
      <c r="E884" s="8" t="str">
        <f aca="false">IF($A884="","",SUMIFS($C:$C,$A:$A,$H884,$B:$B,"&gt;="&amp;INT($B884),$B:$B,"&lt;"&amp;(INT($B884)+1)))</f>
        <v/>
      </c>
      <c r="F884" s="19" t="str">
        <f aca="false">IF($A884="","",IF(ISNA(MATCH($H884,Buffers!$AE:$AE,0)),"Not on Buffers",IF(NOT(ISNUMBER($B884)),"Needs a date",IF(INT($B884)&lt;PlanDate,"Past due",IF(INT($B884)=PlanDate,"Due today",IF(AND(INDEX(Buffers!$L:$L,MATCH($H884,Buffers!$AE:$AE,0))="Planned",$E884&gt;0,INT($B884)&lt;=PlanDate+ROUNDUP(IF(ISNUMBER(SpikeHorizon),SpikeHorizon,INDEX(Buffers!$D:$D,MATCH($H884,Buffers!$AE:$AE,0))),0),$E884&gt;=SpikePct*INDEX(Buffers!$P:$P,MATCH($H884,Buffers!$AE:$AE,0))),"Spike","Not qualified"))))))</f>
        <v/>
      </c>
      <c r="G884" s="8" t="str">
        <f aca="false">IF($A884="","",IF(OR($F884="Past due",$F884="Due today",$F884="Spike"),$C884,0))</f>
        <v/>
      </c>
      <c r="H884" s="8" t="str">
        <f aca="false">IF($A884="","",SUBSTITUTE(SUBSTITUTE(SUBSTITUTE($A884&amp;"","~","~~"),"*","~*"),"?","~?"))</f>
        <v/>
      </c>
    </row>
    <row r="885" customFormat="false" ht="15" hidden="false" customHeight="false" outlineLevel="0" collapsed="false">
      <c r="A885" s="11"/>
      <c r="B885" s="6"/>
      <c r="C885" s="11"/>
      <c r="D885" s="11"/>
      <c r="E885" s="8" t="str">
        <f aca="false">IF($A885="","",SUMIFS($C:$C,$A:$A,$H885,$B:$B,"&gt;="&amp;INT($B885),$B:$B,"&lt;"&amp;(INT($B885)+1)))</f>
        <v/>
      </c>
      <c r="F885" s="19" t="str">
        <f aca="false">IF($A885="","",IF(ISNA(MATCH($H885,Buffers!$AE:$AE,0)),"Not on Buffers",IF(NOT(ISNUMBER($B885)),"Needs a date",IF(INT($B885)&lt;PlanDate,"Past due",IF(INT($B885)=PlanDate,"Due today",IF(AND(INDEX(Buffers!$L:$L,MATCH($H885,Buffers!$AE:$AE,0))="Planned",$E885&gt;0,INT($B885)&lt;=PlanDate+ROUNDUP(IF(ISNUMBER(SpikeHorizon),SpikeHorizon,INDEX(Buffers!$D:$D,MATCH($H885,Buffers!$AE:$AE,0))),0),$E885&gt;=SpikePct*INDEX(Buffers!$P:$P,MATCH($H885,Buffers!$AE:$AE,0))),"Spike","Not qualified"))))))</f>
        <v/>
      </c>
      <c r="G885" s="8" t="str">
        <f aca="false">IF($A885="","",IF(OR($F885="Past due",$F885="Due today",$F885="Spike"),$C885,0))</f>
        <v/>
      </c>
      <c r="H885" s="8" t="str">
        <f aca="false">IF($A885="","",SUBSTITUTE(SUBSTITUTE(SUBSTITUTE($A885&amp;"","~","~~"),"*","~*"),"?","~?"))</f>
        <v/>
      </c>
    </row>
    <row r="886" customFormat="false" ht="15" hidden="false" customHeight="false" outlineLevel="0" collapsed="false">
      <c r="A886" s="11"/>
      <c r="B886" s="6"/>
      <c r="C886" s="11"/>
      <c r="D886" s="11"/>
      <c r="E886" s="8" t="str">
        <f aca="false">IF($A886="","",SUMIFS($C:$C,$A:$A,$H886,$B:$B,"&gt;="&amp;INT($B886),$B:$B,"&lt;"&amp;(INT($B886)+1)))</f>
        <v/>
      </c>
      <c r="F886" s="19" t="str">
        <f aca="false">IF($A886="","",IF(ISNA(MATCH($H886,Buffers!$AE:$AE,0)),"Not on Buffers",IF(NOT(ISNUMBER($B886)),"Needs a date",IF(INT($B886)&lt;PlanDate,"Past due",IF(INT($B886)=PlanDate,"Due today",IF(AND(INDEX(Buffers!$L:$L,MATCH($H886,Buffers!$AE:$AE,0))="Planned",$E886&gt;0,INT($B886)&lt;=PlanDate+ROUNDUP(IF(ISNUMBER(SpikeHorizon),SpikeHorizon,INDEX(Buffers!$D:$D,MATCH($H886,Buffers!$AE:$AE,0))),0),$E886&gt;=SpikePct*INDEX(Buffers!$P:$P,MATCH($H886,Buffers!$AE:$AE,0))),"Spike","Not qualified"))))))</f>
        <v/>
      </c>
      <c r="G886" s="8" t="str">
        <f aca="false">IF($A886="","",IF(OR($F886="Past due",$F886="Due today",$F886="Spike"),$C886,0))</f>
        <v/>
      </c>
      <c r="H886" s="8" t="str">
        <f aca="false">IF($A886="","",SUBSTITUTE(SUBSTITUTE(SUBSTITUTE($A886&amp;"","~","~~"),"*","~*"),"?","~?"))</f>
        <v/>
      </c>
    </row>
    <row r="887" customFormat="false" ht="15" hidden="false" customHeight="false" outlineLevel="0" collapsed="false">
      <c r="A887" s="11"/>
      <c r="B887" s="6"/>
      <c r="C887" s="11"/>
      <c r="D887" s="11"/>
      <c r="E887" s="8" t="str">
        <f aca="false">IF($A887="","",SUMIFS($C:$C,$A:$A,$H887,$B:$B,"&gt;="&amp;INT($B887),$B:$B,"&lt;"&amp;(INT($B887)+1)))</f>
        <v/>
      </c>
      <c r="F887" s="19" t="str">
        <f aca="false">IF($A887="","",IF(ISNA(MATCH($H887,Buffers!$AE:$AE,0)),"Not on Buffers",IF(NOT(ISNUMBER($B887)),"Needs a date",IF(INT($B887)&lt;PlanDate,"Past due",IF(INT($B887)=PlanDate,"Due today",IF(AND(INDEX(Buffers!$L:$L,MATCH($H887,Buffers!$AE:$AE,0))="Planned",$E887&gt;0,INT($B887)&lt;=PlanDate+ROUNDUP(IF(ISNUMBER(SpikeHorizon),SpikeHorizon,INDEX(Buffers!$D:$D,MATCH($H887,Buffers!$AE:$AE,0))),0),$E887&gt;=SpikePct*INDEX(Buffers!$P:$P,MATCH($H887,Buffers!$AE:$AE,0))),"Spike","Not qualified"))))))</f>
        <v/>
      </c>
      <c r="G887" s="8" t="str">
        <f aca="false">IF($A887="","",IF(OR($F887="Past due",$F887="Due today",$F887="Spike"),$C887,0))</f>
        <v/>
      </c>
      <c r="H887" s="8" t="str">
        <f aca="false">IF($A887="","",SUBSTITUTE(SUBSTITUTE(SUBSTITUTE($A887&amp;"","~","~~"),"*","~*"),"?","~?"))</f>
        <v/>
      </c>
    </row>
    <row r="888" customFormat="false" ht="15" hidden="false" customHeight="false" outlineLevel="0" collapsed="false">
      <c r="A888" s="11"/>
      <c r="B888" s="6"/>
      <c r="C888" s="11"/>
      <c r="D888" s="11"/>
      <c r="E888" s="8" t="str">
        <f aca="false">IF($A888="","",SUMIFS($C:$C,$A:$A,$H888,$B:$B,"&gt;="&amp;INT($B888),$B:$B,"&lt;"&amp;(INT($B888)+1)))</f>
        <v/>
      </c>
      <c r="F888" s="19" t="str">
        <f aca="false">IF($A888="","",IF(ISNA(MATCH($H888,Buffers!$AE:$AE,0)),"Not on Buffers",IF(NOT(ISNUMBER($B888)),"Needs a date",IF(INT($B888)&lt;PlanDate,"Past due",IF(INT($B888)=PlanDate,"Due today",IF(AND(INDEX(Buffers!$L:$L,MATCH($H888,Buffers!$AE:$AE,0))="Planned",$E888&gt;0,INT($B888)&lt;=PlanDate+ROUNDUP(IF(ISNUMBER(SpikeHorizon),SpikeHorizon,INDEX(Buffers!$D:$D,MATCH($H888,Buffers!$AE:$AE,0))),0),$E888&gt;=SpikePct*INDEX(Buffers!$P:$P,MATCH($H888,Buffers!$AE:$AE,0))),"Spike","Not qualified"))))))</f>
        <v/>
      </c>
      <c r="G888" s="8" t="str">
        <f aca="false">IF($A888="","",IF(OR($F888="Past due",$F888="Due today",$F888="Spike"),$C888,0))</f>
        <v/>
      </c>
      <c r="H888" s="8" t="str">
        <f aca="false">IF($A888="","",SUBSTITUTE(SUBSTITUTE(SUBSTITUTE($A888&amp;"","~","~~"),"*","~*"),"?","~?"))</f>
        <v/>
      </c>
    </row>
    <row r="889" customFormat="false" ht="15" hidden="false" customHeight="false" outlineLevel="0" collapsed="false">
      <c r="A889" s="11"/>
      <c r="B889" s="6"/>
      <c r="C889" s="11"/>
      <c r="D889" s="11"/>
      <c r="E889" s="8" t="str">
        <f aca="false">IF($A889="","",SUMIFS($C:$C,$A:$A,$H889,$B:$B,"&gt;="&amp;INT($B889),$B:$B,"&lt;"&amp;(INT($B889)+1)))</f>
        <v/>
      </c>
      <c r="F889" s="19" t="str">
        <f aca="false">IF($A889="","",IF(ISNA(MATCH($H889,Buffers!$AE:$AE,0)),"Not on Buffers",IF(NOT(ISNUMBER($B889)),"Needs a date",IF(INT($B889)&lt;PlanDate,"Past due",IF(INT($B889)=PlanDate,"Due today",IF(AND(INDEX(Buffers!$L:$L,MATCH($H889,Buffers!$AE:$AE,0))="Planned",$E889&gt;0,INT($B889)&lt;=PlanDate+ROUNDUP(IF(ISNUMBER(SpikeHorizon),SpikeHorizon,INDEX(Buffers!$D:$D,MATCH($H889,Buffers!$AE:$AE,0))),0),$E889&gt;=SpikePct*INDEX(Buffers!$P:$P,MATCH($H889,Buffers!$AE:$AE,0))),"Spike","Not qualified"))))))</f>
        <v/>
      </c>
      <c r="G889" s="8" t="str">
        <f aca="false">IF($A889="","",IF(OR($F889="Past due",$F889="Due today",$F889="Spike"),$C889,0))</f>
        <v/>
      </c>
      <c r="H889" s="8" t="str">
        <f aca="false">IF($A889="","",SUBSTITUTE(SUBSTITUTE(SUBSTITUTE($A889&amp;"","~","~~"),"*","~*"),"?","~?"))</f>
        <v/>
      </c>
    </row>
    <row r="890" customFormat="false" ht="15" hidden="false" customHeight="false" outlineLevel="0" collapsed="false">
      <c r="A890" s="11"/>
      <c r="B890" s="6"/>
      <c r="C890" s="11"/>
      <c r="D890" s="11"/>
      <c r="E890" s="8" t="str">
        <f aca="false">IF($A890="","",SUMIFS($C:$C,$A:$A,$H890,$B:$B,"&gt;="&amp;INT($B890),$B:$B,"&lt;"&amp;(INT($B890)+1)))</f>
        <v/>
      </c>
      <c r="F890" s="19" t="str">
        <f aca="false">IF($A890="","",IF(ISNA(MATCH($H890,Buffers!$AE:$AE,0)),"Not on Buffers",IF(NOT(ISNUMBER($B890)),"Needs a date",IF(INT($B890)&lt;PlanDate,"Past due",IF(INT($B890)=PlanDate,"Due today",IF(AND(INDEX(Buffers!$L:$L,MATCH($H890,Buffers!$AE:$AE,0))="Planned",$E890&gt;0,INT($B890)&lt;=PlanDate+ROUNDUP(IF(ISNUMBER(SpikeHorizon),SpikeHorizon,INDEX(Buffers!$D:$D,MATCH($H890,Buffers!$AE:$AE,0))),0),$E890&gt;=SpikePct*INDEX(Buffers!$P:$P,MATCH($H890,Buffers!$AE:$AE,0))),"Spike","Not qualified"))))))</f>
        <v/>
      </c>
      <c r="G890" s="8" t="str">
        <f aca="false">IF($A890="","",IF(OR($F890="Past due",$F890="Due today",$F890="Spike"),$C890,0))</f>
        <v/>
      </c>
      <c r="H890" s="8" t="str">
        <f aca="false">IF($A890="","",SUBSTITUTE(SUBSTITUTE(SUBSTITUTE($A890&amp;"","~","~~"),"*","~*"),"?","~?"))</f>
        <v/>
      </c>
    </row>
    <row r="891" customFormat="false" ht="15" hidden="false" customHeight="false" outlineLevel="0" collapsed="false">
      <c r="A891" s="11"/>
      <c r="B891" s="6"/>
      <c r="C891" s="11"/>
      <c r="D891" s="11"/>
      <c r="E891" s="8" t="str">
        <f aca="false">IF($A891="","",SUMIFS($C:$C,$A:$A,$H891,$B:$B,"&gt;="&amp;INT($B891),$B:$B,"&lt;"&amp;(INT($B891)+1)))</f>
        <v/>
      </c>
      <c r="F891" s="19" t="str">
        <f aca="false">IF($A891="","",IF(ISNA(MATCH($H891,Buffers!$AE:$AE,0)),"Not on Buffers",IF(NOT(ISNUMBER($B891)),"Needs a date",IF(INT($B891)&lt;PlanDate,"Past due",IF(INT($B891)=PlanDate,"Due today",IF(AND(INDEX(Buffers!$L:$L,MATCH($H891,Buffers!$AE:$AE,0))="Planned",$E891&gt;0,INT($B891)&lt;=PlanDate+ROUNDUP(IF(ISNUMBER(SpikeHorizon),SpikeHorizon,INDEX(Buffers!$D:$D,MATCH($H891,Buffers!$AE:$AE,0))),0),$E891&gt;=SpikePct*INDEX(Buffers!$P:$P,MATCH($H891,Buffers!$AE:$AE,0))),"Spike","Not qualified"))))))</f>
        <v/>
      </c>
      <c r="G891" s="8" t="str">
        <f aca="false">IF($A891="","",IF(OR($F891="Past due",$F891="Due today",$F891="Spike"),$C891,0))</f>
        <v/>
      </c>
      <c r="H891" s="8" t="str">
        <f aca="false">IF($A891="","",SUBSTITUTE(SUBSTITUTE(SUBSTITUTE($A891&amp;"","~","~~"),"*","~*"),"?","~?"))</f>
        <v/>
      </c>
    </row>
    <row r="892" customFormat="false" ht="15" hidden="false" customHeight="false" outlineLevel="0" collapsed="false">
      <c r="A892" s="11"/>
      <c r="B892" s="6"/>
      <c r="C892" s="11"/>
      <c r="D892" s="11"/>
      <c r="E892" s="8" t="str">
        <f aca="false">IF($A892="","",SUMIFS($C:$C,$A:$A,$H892,$B:$B,"&gt;="&amp;INT($B892),$B:$B,"&lt;"&amp;(INT($B892)+1)))</f>
        <v/>
      </c>
      <c r="F892" s="19" t="str">
        <f aca="false">IF($A892="","",IF(ISNA(MATCH($H892,Buffers!$AE:$AE,0)),"Not on Buffers",IF(NOT(ISNUMBER($B892)),"Needs a date",IF(INT($B892)&lt;PlanDate,"Past due",IF(INT($B892)=PlanDate,"Due today",IF(AND(INDEX(Buffers!$L:$L,MATCH($H892,Buffers!$AE:$AE,0))="Planned",$E892&gt;0,INT($B892)&lt;=PlanDate+ROUNDUP(IF(ISNUMBER(SpikeHorizon),SpikeHorizon,INDEX(Buffers!$D:$D,MATCH($H892,Buffers!$AE:$AE,0))),0),$E892&gt;=SpikePct*INDEX(Buffers!$P:$P,MATCH($H892,Buffers!$AE:$AE,0))),"Spike","Not qualified"))))))</f>
        <v/>
      </c>
      <c r="G892" s="8" t="str">
        <f aca="false">IF($A892="","",IF(OR($F892="Past due",$F892="Due today",$F892="Spike"),$C892,0))</f>
        <v/>
      </c>
      <c r="H892" s="8" t="str">
        <f aca="false">IF($A892="","",SUBSTITUTE(SUBSTITUTE(SUBSTITUTE($A892&amp;"","~","~~"),"*","~*"),"?","~?"))</f>
        <v/>
      </c>
    </row>
    <row r="893" customFormat="false" ht="15" hidden="false" customHeight="false" outlineLevel="0" collapsed="false">
      <c r="A893" s="11"/>
      <c r="B893" s="6"/>
      <c r="C893" s="11"/>
      <c r="D893" s="11"/>
      <c r="E893" s="8" t="str">
        <f aca="false">IF($A893="","",SUMIFS($C:$C,$A:$A,$H893,$B:$B,"&gt;="&amp;INT($B893),$B:$B,"&lt;"&amp;(INT($B893)+1)))</f>
        <v/>
      </c>
      <c r="F893" s="19" t="str">
        <f aca="false">IF($A893="","",IF(ISNA(MATCH($H893,Buffers!$AE:$AE,0)),"Not on Buffers",IF(NOT(ISNUMBER($B893)),"Needs a date",IF(INT($B893)&lt;PlanDate,"Past due",IF(INT($B893)=PlanDate,"Due today",IF(AND(INDEX(Buffers!$L:$L,MATCH($H893,Buffers!$AE:$AE,0))="Planned",$E893&gt;0,INT($B893)&lt;=PlanDate+ROUNDUP(IF(ISNUMBER(SpikeHorizon),SpikeHorizon,INDEX(Buffers!$D:$D,MATCH($H893,Buffers!$AE:$AE,0))),0),$E893&gt;=SpikePct*INDEX(Buffers!$P:$P,MATCH($H893,Buffers!$AE:$AE,0))),"Spike","Not qualified"))))))</f>
        <v/>
      </c>
      <c r="G893" s="8" t="str">
        <f aca="false">IF($A893="","",IF(OR($F893="Past due",$F893="Due today",$F893="Spike"),$C893,0))</f>
        <v/>
      </c>
      <c r="H893" s="8" t="str">
        <f aca="false">IF($A893="","",SUBSTITUTE(SUBSTITUTE(SUBSTITUTE($A893&amp;"","~","~~"),"*","~*"),"?","~?"))</f>
        <v/>
      </c>
    </row>
    <row r="894" customFormat="false" ht="15" hidden="false" customHeight="false" outlineLevel="0" collapsed="false">
      <c r="A894" s="11"/>
      <c r="B894" s="6"/>
      <c r="C894" s="11"/>
      <c r="D894" s="11"/>
      <c r="E894" s="8" t="str">
        <f aca="false">IF($A894="","",SUMIFS($C:$C,$A:$A,$H894,$B:$B,"&gt;="&amp;INT($B894),$B:$B,"&lt;"&amp;(INT($B894)+1)))</f>
        <v/>
      </c>
      <c r="F894" s="19" t="str">
        <f aca="false">IF($A894="","",IF(ISNA(MATCH($H894,Buffers!$AE:$AE,0)),"Not on Buffers",IF(NOT(ISNUMBER($B894)),"Needs a date",IF(INT($B894)&lt;PlanDate,"Past due",IF(INT($B894)=PlanDate,"Due today",IF(AND(INDEX(Buffers!$L:$L,MATCH($H894,Buffers!$AE:$AE,0))="Planned",$E894&gt;0,INT($B894)&lt;=PlanDate+ROUNDUP(IF(ISNUMBER(SpikeHorizon),SpikeHorizon,INDEX(Buffers!$D:$D,MATCH($H894,Buffers!$AE:$AE,0))),0),$E894&gt;=SpikePct*INDEX(Buffers!$P:$P,MATCH($H894,Buffers!$AE:$AE,0))),"Spike","Not qualified"))))))</f>
        <v/>
      </c>
      <c r="G894" s="8" t="str">
        <f aca="false">IF($A894="","",IF(OR($F894="Past due",$F894="Due today",$F894="Spike"),$C894,0))</f>
        <v/>
      </c>
      <c r="H894" s="8" t="str">
        <f aca="false">IF($A894="","",SUBSTITUTE(SUBSTITUTE(SUBSTITUTE($A894&amp;"","~","~~"),"*","~*"),"?","~?"))</f>
        <v/>
      </c>
    </row>
    <row r="895" customFormat="false" ht="15" hidden="false" customHeight="false" outlineLevel="0" collapsed="false">
      <c r="A895" s="11"/>
      <c r="B895" s="6"/>
      <c r="C895" s="11"/>
      <c r="D895" s="11"/>
      <c r="E895" s="8" t="str">
        <f aca="false">IF($A895="","",SUMIFS($C:$C,$A:$A,$H895,$B:$B,"&gt;="&amp;INT($B895),$B:$B,"&lt;"&amp;(INT($B895)+1)))</f>
        <v/>
      </c>
      <c r="F895" s="19" t="str">
        <f aca="false">IF($A895="","",IF(ISNA(MATCH($H895,Buffers!$AE:$AE,0)),"Not on Buffers",IF(NOT(ISNUMBER($B895)),"Needs a date",IF(INT($B895)&lt;PlanDate,"Past due",IF(INT($B895)=PlanDate,"Due today",IF(AND(INDEX(Buffers!$L:$L,MATCH($H895,Buffers!$AE:$AE,0))="Planned",$E895&gt;0,INT($B895)&lt;=PlanDate+ROUNDUP(IF(ISNUMBER(SpikeHorizon),SpikeHorizon,INDEX(Buffers!$D:$D,MATCH($H895,Buffers!$AE:$AE,0))),0),$E895&gt;=SpikePct*INDEX(Buffers!$P:$P,MATCH($H895,Buffers!$AE:$AE,0))),"Spike","Not qualified"))))))</f>
        <v/>
      </c>
      <c r="G895" s="8" t="str">
        <f aca="false">IF($A895="","",IF(OR($F895="Past due",$F895="Due today",$F895="Spike"),$C895,0))</f>
        <v/>
      </c>
      <c r="H895" s="8" t="str">
        <f aca="false">IF($A895="","",SUBSTITUTE(SUBSTITUTE(SUBSTITUTE($A895&amp;"","~","~~"),"*","~*"),"?","~?"))</f>
        <v/>
      </c>
    </row>
    <row r="896" customFormat="false" ht="15" hidden="false" customHeight="false" outlineLevel="0" collapsed="false">
      <c r="A896" s="11"/>
      <c r="B896" s="6"/>
      <c r="C896" s="11"/>
      <c r="D896" s="11"/>
      <c r="E896" s="8" t="str">
        <f aca="false">IF($A896="","",SUMIFS($C:$C,$A:$A,$H896,$B:$B,"&gt;="&amp;INT($B896),$B:$B,"&lt;"&amp;(INT($B896)+1)))</f>
        <v/>
      </c>
      <c r="F896" s="19" t="str">
        <f aca="false">IF($A896="","",IF(ISNA(MATCH($H896,Buffers!$AE:$AE,0)),"Not on Buffers",IF(NOT(ISNUMBER($B896)),"Needs a date",IF(INT($B896)&lt;PlanDate,"Past due",IF(INT($B896)=PlanDate,"Due today",IF(AND(INDEX(Buffers!$L:$L,MATCH($H896,Buffers!$AE:$AE,0))="Planned",$E896&gt;0,INT($B896)&lt;=PlanDate+ROUNDUP(IF(ISNUMBER(SpikeHorizon),SpikeHorizon,INDEX(Buffers!$D:$D,MATCH($H896,Buffers!$AE:$AE,0))),0),$E896&gt;=SpikePct*INDEX(Buffers!$P:$P,MATCH($H896,Buffers!$AE:$AE,0))),"Spike","Not qualified"))))))</f>
        <v/>
      </c>
      <c r="G896" s="8" t="str">
        <f aca="false">IF($A896="","",IF(OR($F896="Past due",$F896="Due today",$F896="Spike"),$C896,0))</f>
        <v/>
      </c>
      <c r="H896" s="8" t="str">
        <f aca="false">IF($A896="","",SUBSTITUTE(SUBSTITUTE(SUBSTITUTE($A896&amp;"","~","~~"),"*","~*"),"?","~?"))</f>
        <v/>
      </c>
    </row>
    <row r="897" customFormat="false" ht="15" hidden="false" customHeight="false" outlineLevel="0" collapsed="false">
      <c r="A897" s="11"/>
      <c r="B897" s="6"/>
      <c r="C897" s="11"/>
      <c r="D897" s="11"/>
      <c r="E897" s="8" t="str">
        <f aca="false">IF($A897="","",SUMIFS($C:$C,$A:$A,$H897,$B:$B,"&gt;="&amp;INT($B897),$B:$B,"&lt;"&amp;(INT($B897)+1)))</f>
        <v/>
      </c>
      <c r="F897" s="19" t="str">
        <f aca="false">IF($A897="","",IF(ISNA(MATCH($H897,Buffers!$AE:$AE,0)),"Not on Buffers",IF(NOT(ISNUMBER($B897)),"Needs a date",IF(INT($B897)&lt;PlanDate,"Past due",IF(INT($B897)=PlanDate,"Due today",IF(AND(INDEX(Buffers!$L:$L,MATCH($H897,Buffers!$AE:$AE,0))="Planned",$E897&gt;0,INT($B897)&lt;=PlanDate+ROUNDUP(IF(ISNUMBER(SpikeHorizon),SpikeHorizon,INDEX(Buffers!$D:$D,MATCH($H897,Buffers!$AE:$AE,0))),0),$E897&gt;=SpikePct*INDEX(Buffers!$P:$P,MATCH($H897,Buffers!$AE:$AE,0))),"Spike","Not qualified"))))))</f>
        <v/>
      </c>
      <c r="G897" s="8" t="str">
        <f aca="false">IF($A897="","",IF(OR($F897="Past due",$F897="Due today",$F897="Spike"),$C897,0))</f>
        <v/>
      </c>
      <c r="H897" s="8" t="str">
        <f aca="false">IF($A897="","",SUBSTITUTE(SUBSTITUTE(SUBSTITUTE($A897&amp;"","~","~~"),"*","~*"),"?","~?"))</f>
        <v/>
      </c>
    </row>
    <row r="898" customFormat="false" ht="15" hidden="false" customHeight="false" outlineLevel="0" collapsed="false">
      <c r="A898" s="11"/>
      <c r="B898" s="6"/>
      <c r="C898" s="11"/>
      <c r="D898" s="11"/>
      <c r="E898" s="8" t="str">
        <f aca="false">IF($A898="","",SUMIFS($C:$C,$A:$A,$H898,$B:$B,"&gt;="&amp;INT($B898),$B:$B,"&lt;"&amp;(INT($B898)+1)))</f>
        <v/>
      </c>
      <c r="F898" s="19" t="str">
        <f aca="false">IF($A898="","",IF(ISNA(MATCH($H898,Buffers!$AE:$AE,0)),"Not on Buffers",IF(NOT(ISNUMBER($B898)),"Needs a date",IF(INT($B898)&lt;PlanDate,"Past due",IF(INT($B898)=PlanDate,"Due today",IF(AND(INDEX(Buffers!$L:$L,MATCH($H898,Buffers!$AE:$AE,0))="Planned",$E898&gt;0,INT($B898)&lt;=PlanDate+ROUNDUP(IF(ISNUMBER(SpikeHorizon),SpikeHorizon,INDEX(Buffers!$D:$D,MATCH($H898,Buffers!$AE:$AE,0))),0),$E898&gt;=SpikePct*INDEX(Buffers!$P:$P,MATCH($H898,Buffers!$AE:$AE,0))),"Spike","Not qualified"))))))</f>
        <v/>
      </c>
      <c r="G898" s="8" t="str">
        <f aca="false">IF($A898="","",IF(OR($F898="Past due",$F898="Due today",$F898="Spike"),$C898,0))</f>
        <v/>
      </c>
      <c r="H898" s="8" t="str">
        <f aca="false">IF($A898="","",SUBSTITUTE(SUBSTITUTE(SUBSTITUTE($A898&amp;"","~","~~"),"*","~*"),"?","~?"))</f>
        <v/>
      </c>
    </row>
    <row r="899" customFormat="false" ht="15" hidden="false" customHeight="false" outlineLevel="0" collapsed="false">
      <c r="A899" s="11"/>
      <c r="B899" s="6"/>
      <c r="C899" s="11"/>
      <c r="D899" s="11"/>
      <c r="E899" s="8" t="str">
        <f aca="false">IF($A899="","",SUMIFS($C:$C,$A:$A,$H899,$B:$B,"&gt;="&amp;INT($B899),$B:$B,"&lt;"&amp;(INT($B899)+1)))</f>
        <v/>
      </c>
      <c r="F899" s="19" t="str">
        <f aca="false">IF($A899="","",IF(ISNA(MATCH($H899,Buffers!$AE:$AE,0)),"Not on Buffers",IF(NOT(ISNUMBER($B899)),"Needs a date",IF(INT($B899)&lt;PlanDate,"Past due",IF(INT($B899)=PlanDate,"Due today",IF(AND(INDEX(Buffers!$L:$L,MATCH($H899,Buffers!$AE:$AE,0))="Planned",$E899&gt;0,INT($B899)&lt;=PlanDate+ROUNDUP(IF(ISNUMBER(SpikeHorizon),SpikeHorizon,INDEX(Buffers!$D:$D,MATCH($H899,Buffers!$AE:$AE,0))),0),$E899&gt;=SpikePct*INDEX(Buffers!$P:$P,MATCH($H899,Buffers!$AE:$AE,0))),"Spike","Not qualified"))))))</f>
        <v/>
      </c>
      <c r="G899" s="8" t="str">
        <f aca="false">IF($A899="","",IF(OR($F899="Past due",$F899="Due today",$F899="Spike"),$C899,0))</f>
        <v/>
      </c>
      <c r="H899" s="8" t="str">
        <f aca="false">IF($A899="","",SUBSTITUTE(SUBSTITUTE(SUBSTITUTE($A899&amp;"","~","~~"),"*","~*"),"?","~?"))</f>
        <v/>
      </c>
    </row>
    <row r="900" customFormat="false" ht="15" hidden="false" customHeight="false" outlineLevel="0" collapsed="false">
      <c r="A900" s="11"/>
      <c r="B900" s="6"/>
      <c r="C900" s="11"/>
      <c r="D900" s="11"/>
      <c r="E900" s="8" t="str">
        <f aca="false">IF($A900="","",SUMIFS($C:$C,$A:$A,$H900,$B:$B,"&gt;="&amp;INT($B900),$B:$B,"&lt;"&amp;(INT($B900)+1)))</f>
        <v/>
      </c>
      <c r="F900" s="19" t="str">
        <f aca="false">IF($A900="","",IF(ISNA(MATCH($H900,Buffers!$AE:$AE,0)),"Not on Buffers",IF(NOT(ISNUMBER($B900)),"Needs a date",IF(INT($B900)&lt;PlanDate,"Past due",IF(INT($B900)=PlanDate,"Due today",IF(AND(INDEX(Buffers!$L:$L,MATCH($H900,Buffers!$AE:$AE,0))="Planned",$E900&gt;0,INT($B900)&lt;=PlanDate+ROUNDUP(IF(ISNUMBER(SpikeHorizon),SpikeHorizon,INDEX(Buffers!$D:$D,MATCH($H900,Buffers!$AE:$AE,0))),0),$E900&gt;=SpikePct*INDEX(Buffers!$P:$P,MATCH($H900,Buffers!$AE:$AE,0))),"Spike","Not qualified"))))))</f>
        <v/>
      </c>
      <c r="G900" s="8" t="str">
        <f aca="false">IF($A900="","",IF(OR($F900="Past due",$F900="Due today",$F900="Spike"),$C900,0))</f>
        <v/>
      </c>
      <c r="H900" s="8" t="str">
        <f aca="false">IF($A900="","",SUBSTITUTE(SUBSTITUTE(SUBSTITUTE($A900&amp;"","~","~~"),"*","~*"),"?","~?"))</f>
        <v/>
      </c>
    </row>
    <row r="901" customFormat="false" ht="15" hidden="false" customHeight="false" outlineLevel="0" collapsed="false">
      <c r="A901" s="11"/>
      <c r="B901" s="6"/>
      <c r="C901" s="11"/>
      <c r="D901" s="11"/>
      <c r="E901" s="8" t="str">
        <f aca="false">IF($A901="","",SUMIFS($C:$C,$A:$A,$H901,$B:$B,"&gt;="&amp;INT($B901),$B:$B,"&lt;"&amp;(INT($B901)+1)))</f>
        <v/>
      </c>
      <c r="F901" s="19" t="str">
        <f aca="false">IF($A901="","",IF(ISNA(MATCH($H901,Buffers!$AE:$AE,0)),"Not on Buffers",IF(NOT(ISNUMBER($B901)),"Needs a date",IF(INT($B901)&lt;PlanDate,"Past due",IF(INT($B901)=PlanDate,"Due today",IF(AND(INDEX(Buffers!$L:$L,MATCH($H901,Buffers!$AE:$AE,0))="Planned",$E901&gt;0,INT($B901)&lt;=PlanDate+ROUNDUP(IF(ISNUMBER(SpikeHorizon),SpikeHorizon,INDEX(Buffers!$D:$D,MATCH($H901,Buffers!$AE:$AE,0))),0),$E901&gt;=SpikePct*INDEX(Buffers!$P:$P,MATCH($H901,Buffers!$AE:$AE,0))),"Spike","Not qualified"))))))</f>
        <v/>
      </c>
      <c r="G901" s="8" t="str">
        <f aca="false">IF($A901="","",IF(OR($F901="Past due",$F901="Due today",$F901="Spike"),$C901,0))</f>
        <v/>
      </c>
      <c r="H901" s="8" t="str">
        <f aca="false">IF($A901="","",SUBSTITUTE(SUBSTITUTE(SUBSTITUTE($A901&amp;"","~","~~"),"*","~*"),"?","~?"))</f>
        <v/>
      </c>
    </row>
    <row r="902" customFormat="false" ht="15" hidden="false" customHeight="false" outlineLevel="0" collapsed="false">
      <c r="A902" s="11"/>
      <c r="B902" s="6"/>
      <c r="C902" s="11"/>
      <c r="D902" s="11"/>
      <c r="E902" s="8" t="str">
        <f aca="false">IF($A902="","",SUMIFS($C:$C,$A:$A,$H902,$B:$B,"&gt;="&amp;INT($B902),$B:$B,"&lt;"&amp;(INT($B902)+1)))</f>
        <v/>
      </c>
      <c r="F902" s="19" t="str">
        <f aca="false">IF($A902="","",IF(ISNA(MATCH($H902,Buffers!$AE:$AE,0)),"Not on Buffers",IF(NOT(ISNUMBER($B902)),"Needs a date",IF(INT($B902)&lt;PlanDate,"Past due",IF(INT($B902)=PlanDate,"Due today",IF(AND(INDEX(Buffers!$L:$L,MATCH($H902,Buffers!$AE:$AE,0))="Planned",$E902&gt;0,INT($B902)&lt;=PlanDate+ROUNDUP(IF(ISNUMBER(SpikeHorizon),SpikeHorizon,INDEX(Buffers!$D:$D,MATCH($H902,Buffers!$AE:$AE,0))),0),$E902&gt;=SpikePct*INDEX(Buffers!$P:$P,MATCH($H902,Buffers!$AE:$AE,0))),"Spike","Not qualified"))))))</f>
        <v/>
      </c>
      <c r="G902" s="8" t="str">
        <f aca="false">IF($A902="","",IF(OR($F902="Past due",$F902="Due today",$F902="Spike"),$C902,0))</f>
        <v/>
      </c>
      <c r="H902" s="8" t="str">
        <f aca="false">IF($A902="","",SUBSTITUTE(SUBSTITUTE(SUBSTITUTE($A902&amp;"","~","~~"),"*","~*"),"?","~?"))</f>
        <v/>
      </c>
    </row>
    <row r="903" customFormat="false" ht="15" hidden="false" customHeight="false" outlineLevel="0" collapsed="false">
      <c r="A903" s="11"/>
      <c r="B903" s="6"/>
      <c r="C903" s="11"/>
      <c r="D903" s="11"/>
      <c r="E903" s="8" t="str">
        <f aca="false">IF($A903="","",SUMIFS($C:$C,$A:$A,$H903,$B:$B,"&gt;="&amp;INT($B903),$B:$B,"&lt;"&amp;(INT($B903)+1)))</f>
        <v/>
      </c>
      <c r="F903" s="19" t="str">
        <f aca="false">IF($A903="","",IF(ISNA(MATCH($H903,Buffers!$AE:$AE,0)),"Not on Buffers",IF(NOT(ISNUMBER($B903)),"Needs a date",IF(INT($B903)&lt;PlanDate,"Past due",IF(INT($B903)=PlanDate,"Due today",IF(AND(INDEX(Buffers!$L:$L,MATCH($H903,Buffers!$AE:$AE,0))="Planned",$E903&gt;0,INT($B903)&lt;=PlanDate+ROUNDUP(IF(ISNUMBER(SpikeHorizon),SpikeHorizon,INDEX(Buffers!$D:$D,MATCH($H903,Buffers!$AE:$AE,0))),0),$E903&gt;=SpikePct*INDEX(Buffers!$P:$P,MATCH($H903,Buffers!$AE:$AE,0))),"Spike","Not qualified"))))))</f>
        <v/>
      </c>
      <c r="G903" s="8" t="str">
        <f aca="false">IF($A903="","",IF(OR($F903="Past due",$F903="Due today",$F903="Spike"),$C903,0))</f>
        <v/>
      </c>
      <c r="H903" s="8" t="str">
        <f aca="false">IF($A903="","",SUBSTITUTE(SUBSTITUTE(SUBSTITUTE($A903&amp;"","~","~~"),"*","~*"),"?","~?"))</f>
        <v/>
      </c>
    </row>
    <row r="904" customFormat="false" ht="15" hidden="false" customHeight="false" outlineLevel="0" collapsed="false">
      <c r="A904" s="11"/>
      <c r="B904" s="6"/>
      <c r="C904" s="11"/>
      <c r="D904" s="11"/>
      <c r="E904" s="8" t="str">
        <f aca="false">IF($A904="","",SUMIFS($C:$C,$A:$A,$H904,$B:$B,"&gt;="&amp;INT($B904),$B:$B,"&lt;"&amp;(INT($B904)+1)))</f>
        <v/>
      </c>
      <c r="F904" s="19" t="str">
        <f aca="false">IF($A904="","",IF(ISNA(MATCH($H904,Buffers!$AE:$AE,0)),"Not on Buffers",IF(NOT(ISNUMBER($B904)),"Needs a date",IF(INT($B904)&lt;PlanDate,"Past due",IF(INT($B904)=PlanDate,"Due today",IF(AND(INDEX(Buffers!$L:$L,MATCH($H904,Buffers!$AE:$AE,0))="Planned",$E904&gt;0,INT($B904)&lt;=PlanDate+ROUNDUP(IF(ISNUMBER(SpikeHorizon),SpikeHorizon,INDEX(Buffers!$D:$D,MATCH($H904,Buffers!$AE:$AE,0))),0),$E904&gt;=SpikePct*INDEX(Buffers!$P:$P,MATCH($H904,Buffers!$AE:$AE,0))),"Spike","Not qualified"))))))</f>
        <v/>
      </c>
      <c r="G904" s="8" t="str">
        <f aca="false">IF($A904="","",IF(OR($F904="Past due",$F904="Due today",$F904="Spike"),$C904,0))</f>
        <v/>
      </c>
      <c r="H904" s="8" t="str">
        <f aca="false">IF($A904="","",SUBSTITUTE(SUBSTITUTE(SUBSTITUTE($A904&amp;"","~","~~"),"*","~*"),"?","~?"))</f>
        <v/>
      </c>
    </row>
    <row r="905" customFormat="false" ht="15" hidden="false" customHeight="false" outlineLevel="0" collapsed="false">
      <c r="A905" s="11"/>
      <c r="B905" s="6"/>
      <c r="C905" s="11"/>
      <c r="D905" s="11"/>
      <c r="E905" s="8" t="str">
        <f aca="false">IF($A905="","",SUMIFS($C:$C,$A:$A,$H905,$B:$B,"&gt;="&amp;INT($B905),$B:$B,"&lt;"&amp;(INT($B905)+1)))</f>
        <v/>
      </c>
      <c r="F905" s="19" t="str">
        <f aca="false">IF($A905="","",IF(ISNA(MATCH($H905,Buffers!$AE:$AE,0)),"Not on Buffers",IF(NOT(ISNUMBER($B905)),"Needs a date",IF(INT($B905)&lt;PlanDate,"Past due",IF(INT($B905)=PlanDate,"Due today",IF(AND(INDEX(Buffers!$L:$L,MATCH($H905,Buffers!$AE:$AE,0))="Planned",$E905&gt;0,INT($B905)&lt;=PlanDate+ROUNDUP(IF(ISNUMBER(SpikeHorizon),SpikeHorizon,INDEX(Buffers!$D:$D,MATCH($H905,Buffers!$AE:$AE,0))),0),$E905&gt;=SpikePct*INDEX(Buffers!$P:$P,MATCH($H905,Buffers!$AE:$AE,0))),"Spike","Not qualified"))))))</f>
        <v/>
      </c>
      <c r="G905" s="8" t="str">
        <f aca="false">IF($A905="","",IF(OR($F905="Past due",$F905="Due today",$F905="Spike"),$C905,0))</f>
        <v/>
      </c>
      <c r="H905" s="8" t="str">
        <f aca="false">IF($A905="","",SUBSTITUTE(SUBSTITUTE(SUBSTITUTE($A905&amp;"","~","~~"),"*","~*"),"?","~?"))</f>
        <v/>
      </c>
    </row>
    <row r="906" customFormat="false" ht="15" hidden="false" customHeight="false" outlineLevel="0" collapsed="false">
      <c r="A906" s="11"/>
      <c r="B906" s="6"/>
      <c r="C906" s="11"/>
      <c r="D906" s="11"/>
      <c r="E906" s="8" t="str">
        <f aca="false">IF($A906="","",SUMIFS($C:$C,$A:$A,$H906,$B:$B,"&gt;="&amp;INT($B906),$B:$B,"&lt;"&amp;(INT($B906)+1)))</f>
        <v/>
      </c>
      <c r="F906" s="19" t="str">
        <f aca="false">IF($A906="","",IF(ISNA(MATCH($H906,Buffers!$AE:$AE,0)),"Not on Buffers",IF(NOT(ISNUMBER($B906)),"Needs a date",IF(INT($B906)&lt;PlanDate,"Past due",IF(INT($B906)=PlanDate,"Due today",IF(AND(INDEX(Buffers!$L:$L,MATCH($H906,Buffers!$AE:$AE,0))="Planned",$E906&gt;0,INT($B906)&lt;=PlanDate+ROUNDUP(IF(ISNUMBER(SpikeHorizon),SpikeHorizon,INDEX(Buffers!$D:$D,MATCH($H906,Buffers!$AE:$AE,0))),0),$E906&gt;=SpikePct*INDEX(Buffers!$P:$P,MATCH($H906,Buffers!$AE:$AE,0))),"Spike","Not qualified"))))))</f>
        <v/>
      </c>
      <c r="G906" s="8" t="str">
        <f aca="false">IF($A906="","",IF(OR($F906="Past due",$F906="Due today",$F906="Spike"),$C906,0))</f>
        <v/>
      </c>
      <c r="H906" s="8" t="str">
        <f aca="false">IF($A906="","",SUBSTITUTE(SUBSTITUTE(SUBSTITUTE($A906&amp;"","~","~~"),"*","~*"),"?","~?"))</f>
        <v/>
      </c>
    </row>
    <row r="907" customFormat="false" ht="15" hidden="false" customHeight="false" outlineLevel="0" collapsed="false">
      <c r="A907" s="11"/>
      <c r="B907" s="6"/>
      <c r="C907" s="11"/>
      <c r="D907" s="11"/>
      <c r="E907" s="8" t="str">
        <f aca="false">IF($A907="","",SUMIFS($C:$C,$A:$A,$H907,$B:$B,"&gt;="&amp;INT($B907),$B:$B,"&lt;"&amp;(INT($B907)+1)))</f>
        <v/>
      </c>
      <c r="F907" s="19" t="str">
        <f aca="false">IF($A907="","",IF(ISNA(MATCH($H907,Buffers!$AE:$AE,0)),"Not on Buffers",IF(NOT(ISNUMBER($B907)),"Needs a date",IF(INT($B907)&lt;PlanDate,"Past due",IF(INT($B907)=PlanDate,"Due today",IF(AND(INDEX(Buffers!$L:$L,MATCH($H907,Buffers!$AE:$AE,0))="Planned",$E907&gt;0,INT($B907)&lt;=PlanDate+ROUNDUP(IF(ISNUMBER(SpikeHorizon),SpikeHorizon,INDEX(Buffers!$D:$D,MATCH($H907,Buffers!$AE:$AE,0))),0),$E907&gt;=SpikePct*INDEX(Buffers!$P:$P,MATCH($H907,Buffers!$AE:$AE,0))),"Spike","Not qualified"))))))</f>
        <v/>
      </c>
      <c r="G907" s="8" t="str">
        <f aca="false">IF($A907="","",IF(OR($F907="Past due",$F907="Due today",$F907="Spike"),$C907,0))</f>
        <v/>
      </c>
      <c r="H907" s="8" t="str">
        <f aca="false">IF($A907="","",SUBSTITUTE(SUBSTITUTE(SUBSTITUTE($A907&amp;"","~","~~"),"*","~*"),"?","~?"))</f>
        <v/>
      </c>
    </row>
    <row r="908" customFormat="false" ht="15" hidden="false" customHeight="false" outlineLevel="0" collapsed="false">
      <c r="A908" s="11"/>
      <c r="B908" s="6"/>
      <c r="C908" s="11"/>
      <c r="D908" s="11"/>
      <c r="E908" s="8" t="str">
        <f aca="false">IF($A908="","",SUMIFS($C:$C,$A:$A,$H908,$B:$B,"&gt;="&amp;INT($B908),$B:$B,"&lt;"&amp;(INT($B908)+1)))</f>
        <v/>
      </c>
      <c r="F908" s="19" t="str">
        <f aca="false">IF($A908="","",IF(ISNA(MATCH($H908,Buffers!$AE:$AE,0)),"Not on Buffers",IF(NOT(ISNUMBER($B908)),"Needs a date",IF(INT($B908)&lt;PlanDate,"Past due",IF(INT($B908)=PlanDate,"Due today",IF(AND(INDEX(Buffers!$L:$L,MATCH($H908,Buffers!$AE:$AE,0))="Planned",$E908&gt;0,INT($B908)&lt;=PlanDate+ROUNDUP(IF(ISNUMBER(SpikeHorizon),SpikeHorizon,INDEX(Buffers!$D:$D,MATCH($H908,Buffers!$AE:$AE,0))),0),$E908&gt;=SpikePct*INDEX(Buffers!$P:$P,MATCH($H908,Buffers!$AE:$AE,0))),"Spike","Not qualified"))))))</f>
        <v/>
      </c>
      <c r="G908" s="8" t="str">
        <f aca="false">IF($A908="","",IF(OR($F908="Past due",$F908="Due today",$F908="Spike"),$C908,0))</f>
        <v/>
      </c>
      <c r="H908" s="8" t="str">
        <f aca="false">IF($A908="","",SUBSTITUTE(SUBSTITUTE(SUBSTITUTE($A908&amp;"","~","~~"),"*","~*"),"?","~?"))</f>
        <v/>
      </c>
    </row>
    <row r="909" customFormat="false" ht="15" hidden="false" customHeight="false" outlineLevel="0" collapsed="false">
      <c r="A909" s="11"/>
      <c r="B909" s="6"/>
      <c r="C909" s="11"/>
      <c r="D909" s="11"/>
      <c r="E909" s="8" t="str">
        <f aca="false">IF($A909="","",SUMIFS($C:$C,$A:$A,$H909,$B:$B,"&gt;="&amp;INT($B909),$B:$B,"&lt;"&amp;(INT($B909)+1)))</f>
        <v/>
      </c>
      <c r="F909" s="19" t="str">
        <f aca="false">IF($A909="","",IF(ISNA(MATCH($H909,Buffers!$AE:$AE,0)),"Not on Buffers",IF(NOT(ISNUMBER($B909)),"Needs a date",IF(INT($B909)&lt;PlanDate,"Past due",IF(INT($B909)=PlanDate,"Due today",IF(AND(INDEX(Buffers!$L:$L,MATCH($H909,Buffers!$AE:$AE,0))="Planned",$E909&gt;0,INT($B909)&lt;=PlanDate+ROUNDUP(IF(ISNUMBER(SpikeHorizon),SpikeHorizon,INDEX(Buffers!$D:$D,MATCH($H909,Buffers!$AE:$AE,0))),0),$E909&gt;=SpikePct*INDEX(Buffers!$P:$P,MATCH($H909,Buffers!$AE:$AE,0))),"Spike","Not qualified"))))))</f>
        <v/>
      </c>
      <c r="G909" s="8" t="str">
        <f aca="false">IF($A909="","",IF(OR($F909="Past due",$F909="Due today",$F909="Spike"),$C909,0))</f>
        <v/>
      </c>
      <c r="H909" s="8" t="str">
        <f aca="false">IF($A909="","",SUBSTITUTE(SUBSTITUTE(SUBSTITUTE($A909&amp;"","~","~~"),"*","~*"),"?","~?"))</f>
        <v/>
      </c>
    </row>
    <row r="910" customFormat="false" ht="15" hidden="false" customHeight="false" outlineLevel="0" collapsed="false">
      <c r="A910" s="11"/>
      <c r="B910" s="6"/>
      <c r="C910" s="11"/>
      <c r="D910" s="11"/>
      <c r="E910" s="8" t="str">
        <f aca="false">IF($A910="","",SUMIFS($C:$C,$A:$A,$H910,$B:$B,"&gt;="&amp;INT($B910),$B:$B,"&lt;"&amp;(INT($B910)+1)))</f>
        <v/>
      </c>
      <c r="F910" s="19" t="str">
        <f aca="false">IF($A910="","",IF(ISNA(MATCH($H910,Buffers!$AE:$AE,0)),"Not on Buffers",IF(NOT(ISNUMBER($B910)),"Needs a date",IF(INT($B910)&lt;PlanDate,"Past due",IF(INT($B910)=PlanDate,"Due today",IF(AND(INDEX(Buffers!$L:$L,MATCH($H910,Buffers!$AE:$AE,0))="Planned",$E910&gt;0,INT($B910)&lt;=PlanDate+ROUNDUP(IF(ISNUMBER(SpikeHorizon),SpikeHorizon,INDEX(Buffers!$D:$D,MATCH($H910,Buffers!$AE:$AE,0))),0),$E910&gt;=SpikePct*INDEX(Buffers!$P:$P,MATCH($H910,Buffers!$AE:$AE,0))),"Spike","Not qualified"))))))</f>
        <v/>
      </c>
      <c r="G910" s="8" t="str">
        <f aca="false">IF($A910="","",IF(OR($F910="Past due",$F910="Due today",$F910="Spike"),$C910,0))</f>
        <v/>
      </c>
      <c r="H910" s="8" t="str">
        <f aca="false">IF($A910="","",SUBSTITUTE(SUBSTITUTE(SUBSTITUTE($A910&amp;"","~","~~"),"*","~*"),"?","~?"))</f>
        <v/>
      </c>
    </row>
    <row r="911" customFormat="false" ht="15" hidden="false" customHeight="false" outlineLevel="0" collapsed="false">
      <c r="A911" s="11"/>
      <c r="B911" s="6"/>
      <c r="C911" s="11"/>
      <c r="D911" s="11"/>
      <c r="E911" s="8" t="str">
        <f aca="false">IF($A911="","",SUMIFS($C:$C,$A:$A,$H911,$B:$B,"&gt;="&amp;INT($B911),$B:$B,"&lt;"&amp;(INT($B911)+1)))</f>
        <v/>
      </c>
      <c r="F911" s="19" t="str">
        <f aca="false">IF($A911="","",IF(ISNA(MATCH($H911,Buffers!$AE:$AE,0)),"Not on Buffers",IF(NOT(ISNUMBER($B911)),"Needs a date",IF(INT($B911)&lt;PlanDate,"Past due",IF(INT($B911)=PlanDate,"Due today",IF(AND(INDEX(Buffers!$L:$L,MATCH($H911,Buffers!$AE:$AE,0))="Planned",$E911&gt;0,INT($B911)&lt;=PlanDate+ROUNDUP(IF(ISNUMBER(SpikeHorizon),SpikeHorizon,INDEX(Buffers!$D:$D,MATCH($H911,Buffers!$AE:$AE,0))),0),$E911&gt;=SpikePct*INDEX(Buffers!$P:$P,MATCH($H911,Buffers!$AE:$AE,0))),"Spike","Not qualified"))))))</f>
        <v/>
      </c>
      <c r="G911" s="8" t="str">
        <f aca="false">IF($A911="","",IF(OR($F911="Past due",$F911="Due today",$F911="Spike"),$C911,0))</f>
        <v/>
      </c>
      <c r="H911" s="8" t="str">
        <f aca="false">IF($A911="","",SUBSTITUTE(SUBSTITUTE(SUBSTITUTE($A911&amp;"","~","~~"),"*","~*"),"?","~?"))</f>
        <v/>
      </c>
    </row>
    <row r="912" customFormat="false" ht="15" hidden="false" customHeight="false" outlineLevel="0" collapsed="false">
      <c r="A912" s="11"/>
      <c r="B912" s="6"/>
      <c r="C912" s="11"/>
      <c r="D912" s="11"/>
      <c r="E912" s="8" t="str">
        <f aca="false">IF($A912="","",SUMIFS($C:$C,$A:$A,$H912,$B:$B,"&gt;="&amp;INT($B912),$B:$B,"&lt;"&amp;(INT($B912)+1)))</f>
        <v/>
      </c>
      <c r="F912" s="19" t="str">
        <f aca="false">IF($A912="","",IF(ISNA(MATCH($H912,Buffers!$AE:$AE,0)),"Not on Buffers",IF(NOT(ISNUMBER($B912)),"Needs a date",IF(INT($B912)&lt;PlanDate,"Past due",IF(INT($B912)=PlanDate,"Due today",IF(AND(INDEX(Buffers!$L:$L,MATCH($H912,Buffers!$AE:$AE,0))="Planned",$E912&gt;0,INT($B912)&lt;=PlanDate+ROUNDUP(IF(ISNUMBER(SpikeHorizon),SpikeHorizon,INDEX(Buffers!$D:$D,MATCH($H912,Buffers!$AE:$AE,0))),0),$E912&gt;=SpikePct*INDEX(Buffers!$P:$P,MATCH($H912,Buffers!$AE:$AE,0))),"Spike","Not qualified"))))))</f>
        <v/>
      </c>
      <c r="G912" s="8" t="str">
        <f aca="false">IF($A912="","",IF(OR($F912="Past due",$F912="Due today",$F912="Spike"),$C912,0))</f>
        <v/>
      </c>
      <c r="H912" s="8" t="str">
        <f aca="false">IF($A912="","",SUBSTITUTE(SUBSTITUTE(SUBSTITUTE($A912&amp;"","~","~~"),"*","~*"),"?","~?"))</f>
        <v/>
      </c>
    </row>
    <row r="913" customFormat="false" ht="15" hidden="false" customHeight="false" outlineLevel="0" collapsed="false">
      <c r="A913" s="11"/>
      <c r="B913" s="6"/>
      <c r="C913" s="11"/>
      <c r="D913" s="11"/>
      <c r="E913" s="8" t="str">
        <f aca="false">IF($A913="","",SUMIFS($C:$C,$A:$A,$H913,$B:$B,"&gt;="&amp;INT($B913),$B:$B,"&lt;"&amp;(INT($B913)+1)))</f>
        <v/>
      </c>
      <c r="F913" s="19" t="str">
        <f aca="false">IF($A913="","",IF(ISNA(MATCH($H913,Buffers!$AE:$AE,0)),"Not on Buffers",IF(NOT(ISNUMBER($B913)),"Needs a date",IF(INT($B913)&lt;PlanDate,"Past due",IF(INT($B913)=PlanDate,"Due today",IF(AND(INDEX(Buffers!$L:$L,MATCH($H913,Buffers!$AE:$AE,0))="Planned",$E913&gt;0,INT($B913)&lt;=PlanDate+ROUNDUP(IF(ISNUMBER(SpikeHorizon),SpikeHorizon,INDEX(Buffers!$D:$D,MATCH($H913,Buffers!$AE:$AE,0))),0),$E913&gt;=SpikePct*INDEX(Buffers!$P:$P,MATCH($H913,Buffers!$AE:$AE,0))),"Spike","Not qualified"))))))</f>
        <v/>
      </c>
      <c r="G913" s="8" t="str">
        <f aca="false">IF($A913="","",IF(OR($F913="Past due",$F913="Due today",$F913="Spike"),$C913,0))</f>
        <v/>
      </c>
      <c r="H913" s="8" t="str">
        <f aca="false">IF($A913="","",SUBSTITUTE(SUBSTITUTE(SUBSTITUTE($A913&amp;"","~","~~"),"*","~*"),"?","~?"))</f>
        <v/>
      </c>
    </row>
    <row r="914" customFormat="false" ht="15" hidden="false" customHeight="false" outlineLevel="0" collapsed="false">
      <c r="A914" s="11"/>
      <c r="B914" s="6"/>
      <c r="C914" s="11"/>
      <c r="D914" s="11"/>
      <c r="E914" s="8" t="str">
        <f aca="false">IF($A914="","",SUMIFS($C:$C,$A:$A,$H914,$B:$B,"&gt;="&amp;INT($B914),$B:$B,"&lt;"&amp;(INT($B914)+1)))</f>
        <v/>
      </c>
      <c r="F914" s="19" t="str">
        <f aca="false">IF($A914="","",IF(ISNA(MATCH($H914,Buffers!$AE:$AE,0)),"Not on Buffers",IF(NOT(ISNUMBER($B914)),"Needs a date",IF(INT($B914)&lt;PlanDate,"Past due",IF(INT($B914)=PlanDate,"Due today",IF(AND(INDEX(Buffers!$L:$L,MATCH($H914,Buffers!$AE:$AE,0))="Planned",$E914&gt;0,INT($B914)&lt;=PlanDate+ROUNDUP(IF(ISNUMBER(SpikeHorizon),SpikeHorizon,INDEX(Buffers!$D:$D,MATCH($H914,Buffers!$AE:$AE,0))),0),$E914&gt;=SpikePct*INDEX(Buffers!$P:$P,MATCH($H914,Buffers!$AE:$AE,0))),"Spike","Not qualified"))))))</f>
        <v/>
      </c>
      <c r="G914" s="8" t="str">
        <f aca="false">IF($A914="","",IF(OR($F914="Past due",$F914="Due today",$F914="Spike"),$C914,0))</f>
        <v/>
      </c>
      <c r="H914" s="8" t="str">
        <f aca="false">IF($A914="","",SUBSTITUTE(SUBSTITUTE(SUBSTITUTE($A914&amp;"","~","~~"),"*","~*"),"?","~?"))</f>
        <v/>
      </c>
    </row>
    <row r="915" customFormat="false" ht="15" hidden="false" customHeight="false" outlineLevel="0" collapsed="false">
      <c r="A915" s="11"/>
      <c r="B915" s="6"/>
      <c r="C915" s="11"/>
      <c r="D915" s="11"/>
      <c r="E915" s="8" t="str">
        <f aca="false">IF($A915="","",SUMIFS($C:$C,$A:$A,$H915,$B:$B,"&gt;="&amp;INT($B915),$B:$B,"&lt;"&amp;(INT($B915)+1)))</f>
        <v/>
      </c>
      <c r="F915" s="19" t="str">
        <f aca="false">IF($A915="","",IF(ISNA(MATCH($H915,Buffers!$AE:$AE,0)),"Not on Buffers",IF(NOT(ISNUMBER($B915)),"Needs a date",IF(INT($B915)&lt;PlanDate,"Past due",IF(INT($B915)=PlanDate,"Due today",IF(AND(INDEX(Buffers!$L:$L,MATCH($H915,Buffers!$AE:$AE,0))="Planned",$E915&gt;0,INT($B915)&lt;=PlanDate+ROUNDUP(IF(ISNUMBER(SpikeHorizon),SpikeHorizon,INDEX(Buffers!$D:$D,MATCH($H915,Buffers!$AE:$AE,0))),0),$E915&gt;=SpikePct*INDEX(Buffers!$P:$P,MATCH($H915,Buffers!$AE:$AE,0))),"Spike","Not qualified"))))))</f>
        <v/>
      </c>
      <c r="G915" s="8" t="str">
        <f aca="false">IF($A915="","",IF(OR($F915="Past due",$F915="Due today",$F915="Spike"),$C915,0))</f>
        <v/>
      </c>
      <c r="H915" s="8" t="str">
        <f aca="false">IF($A915="","",SUBSTITUTE(SUBSTITUTE(SUBSTITUTE($A915&amp;"","~","~~"),"*","~*"),"?","~?"))</f>
        <v/>
      </c>
    </row>
    <row r="916" customFormat="false" ht="15" hidden="false" customHeight="false" outlineLevel="0" collapsed="false">
      <c r="A916" s="11"/>
      <c r="B916" s="6"/>
      <c r="C916" s="11"/>
      <c r="D916" s="11"/>
      <c r="E916" s="8" t="str">
        <f aca="false">IF($A916="","",SUMIFS($C:$C,$A:$A,$H916,$B:$B,"&gt;="&amp;INT($B916),$B:$B,"&lt;"&amp;(INT($B916)+1)))</f>
        <v/>
      </c>
      <c r="F916" s="19" t="str">
        <f aca="false">IF($A916="","",IF(ISNA(MATCH($H916,Buffers!$AE:$AE,0)),"Not on Buffers",IF(NOT(ISNUMBER($B916)),"Needs a date",IF(INT($B916)&lt;PlanDate,"Past due",IF(INT($B916)=PlanDate,"Due today",IF(AND(INDEX(Buffers!$L:$L,MATCH($H916,Buffers!$AE:$AE,0))="Planned",$E916&gt;0,INT($B916)&lt;=PlanDate+ROUNDUP(IF(ISNUMBER(SpikeHorizon),SpikeHorizon,INDEX(Buffers!$D:$D,MATCH($H916,Buffers!$AE:$AE,0))),0),$E916&gt;=SpikePct*INDEX(Buffers!$P:$P,MATCH($H916,Buffers!$AE:$AE,0))),"Spike","Not qualified"))))))</f>
        <v/>
      </c>
      <c r="G916" s="8" t="str">
        <f aca="false">IF($A916="","",IF(OR($F916="Past due",$F916="Due today",$F916="Spike"),$C916,0))</f>
        <v/>
      </c>
      <c r="H916" s="8" t="str">
        <f aca="false">IF($A916="","",SUBSTITUTE(SUBSTITUTE(SUBSTITUTE($A916&amp;"","~","~~"),"*","~*"),"?","~?"))</f>
        <v/>
      </c>
    </row>
    <row r="917" customFormat="false" ht="15" hidden="false" customHeight="false" outlineLevel="0" collapsed="false">
      <c r="A917" s="11"/>
      <c r="B917" s="6"/>
      <c r="C917" s="11"/>
      <c r="D917" s="11"/>
      <c r="E917" s="8" t="str">
        <f aca="false">IF($A917="","",SUMIFS($C:$C,$A:$A,$H917,$B:$B,"&gt;="&amp;INT($B917),$B:$B,"&lt;"&amp;(INT($B917)+1)))</f>
        <v/>
      </c>
      <c r="F917" s="19" t="str">
        <f aca="false">IF($A917="","",IF(ISNA(MATCH($H917,Buffers!$AE:$AE,0)),"Not on Buffers",IF(NOT(ISNUMBER($B917)),"Needs a date",IF(INT($B917)&lt;PlanDate,"Past due",IF(INT($B917)=PlanDate,"Due today",IF(AND(INDEX(Buffers!$L:$L,MATCH($H917,Buffers!$AE:$AE,0))="Planned",$E917&gt;0,INT($B917)&lt;=PlanDate+ROUNDUP(IF(ISNUMBER(SpikeHorizon),SpikeHorizon,INDEX(Buffers!$D:$D,MATCH($H917,Buffers!$AE:$AE,0))),0),$E917&gt;=SpikePct*INDEX(Buffers!$P:$P,MATCH($H917,Buffers!$AE:$AE,0))),"Spike","Not qualified"))))))</f>
        <v/>
      </c>
      <c r="G917" s="8" t="str">
        <f aca="false">IF($A917="","",IF(OR($F917="Past due",$F917="Due today",$F917="Spike"),$C917,0))</f>
        <v/>
      </c>
      <c r="H917" s="8" t="str">
        <f aca="false">IF($A917="","",SUBSTITUTE(SUBSTITUTE(SUBSTITUTE($A917&amp;"","~","~~"),"*","~*"),"?","~?"))</f>
        <v/>
      </c>
    </row>
    <row r="918" customFormat="false" ht="15" hidden="false" customHeight="false" outlineLevel="0" collapsed="false">
      <c r="A918" s="11"/>
      <c r="B918" s="6"/>
      <c r="C918" s="11"/>
      <c r="D918" s="11"/>
      <c r="E918" s="8" t="str">
        <f aca="false">IF($A918="","",SUMIFS($C:$C,$A:$A,$H918,$B:$B,"&gt;="&amp;INT($B918),$B:$B,"&lt;"&amp;(INT($B918)+1)))</f>
        <v/>
      </c>
      <c r="F918" s="19" t="str">
        <f aca="false">IF($A918="","",IF(ISNA(MATCH($H918,Buffers!$AE:$AE,0)),"Not on Buffers",IF(NOT(ISNUMBER($B918)),"Needs a date",IF(INT($B918)&lt;PlanDate,"Past due",IF(INT($B918)=PlanDate,"Due today",IF(AND(INDEX(Buffers!$L:$L,MATCH($H918,Buffers!$AE:$AE,0))="Planned",$E918&gt;0,INT($B918)&lt;=PlanDate+ROUNDUP(IF(ISNUMBER(SpikeHorizon),SpikeHorizon,INDEX(Buffers!$D:$D,MATCH($H918,Buffers!$AE:$AE,0))),0),$E918&gt;=SpikePct*INDEX(Buffers!$P:$P,MATCH($H918,Buffers!$AE:$AE,0))),"Spike","Not qualified"))))))</f>
        <v/>
      </c>
      <c r="G918" s="8" t="str">
        <f aca="false">IF($A918="","",IF(OR($F918="Past due",$F918="Due today",$F918="Spike"),$C918,0))</f>
        <v/>
      </c>
      <c r="H918" s="8" t="str">
        <f aca="false">IF($A918="","",SUBSTITUTE(SUBSTITUTE(SUBSTITUTE($A918&amp;"","~","~~"),"*","~*"),"?","~?"))</f>
        <v/>
      </c>
    </row>
    <row r="919" customFormat="false" ht="15" hidden="false" customHeight="false" outlineLevel="0" collapsed="false">
      <c r="A919" s="11"/>
      <c r="B919" s="6"/>
      <c r="C919" s="11"/>
      <c r="D919" s="11"/>
      <c r="E919" s="8" t="str">
        <f aca="false">IF($A919="","",SUMIFS($C:$C,$A:$A,$H919,$B:$B,"&gt;="&amp;INT($B919),$B:$B,"&lt;"&amp;(INT($B919)+1)))</f>
        <v/>
      </c>
      <c r="F919" s="19" t="str">
        <f aca="false">IF($A919="","",IF(ISNA(MATCH($H919,Buffers!$AE:$AE,0)),"Not on Buffers",IF(NOT(ISNUMBER($B919)),"Needs a date",IF(INT($B919)&lt;PlanDate,"Past due",IF(INT($B919)=PlanDate,"Due today",IF(AND(INDEX(Buffers!$L:$L,MATCH($H919,Buffers!$AE:$AE,0))="Planned",$E919&gt;0,INT($B919)&lt;=PlanDate+ROUNDUP(IF(ISNUMBER(SpikeHorizon),SpikeHorizon,INDEX(Buffers!$D:$D,MATCH($H919,Buffers!$AE:$AE,0))),0),$E919&gt;=SpikePct*INDEX(Buffers!$P:$P,MATCH($H919,Buffers!$AE:$AE,0))),"Spike","Not qualified"))))))</f>
        <v/>
      </c>
      <c r="G919" s="8" t="str">
        <f aca="false">IF($A919="","",IF(OR($F919="Past due",$F919="Due today",$F919="Spike"),$C919,0))</f>
        <v/>
      </c>
      <c r="H919" s="8" t="str">
        <f aca="false">IF($A919="","",SUBSTITUTE(SUBSTITUTE(SUBSTITUTE($A919&amp;"","~","~~"),"*","~*"),"?","~?"))</f>
        <v/>
      </c>
    </row>
    <row r="920" customFormat="false" ht="15" hidden="false" customHeight="false" outlineLevel="0" collapsed="false">
      <c r="A920" s="11"/>
      <c r="B920" s="6"/>
      <c r="C920" s="11"/>
      <c r="D920" s="11"/>
      <c r="E920" s="8" t="str">
        <f aca="false">IF($A920="","",SUMIFS($C:$C,$A:$A,$H920,$B:$B,"&gt;="&amp;INT($B920),$B:$B,"&lt;"&amp;(INT($B920)+1)))</f>
        <v/>
      </c>
      <c r="F920" s="19" t="str">
        <f aca="false">IF($A920="","",IF(ISNA(MATCH($H920,Buffers!$AE:$AE,0)),"Not on Buffers",IF(NOT(ISNUMBER($B920)),"Needs a date",IF(INT($B920)&lt;PlanDate,"Past due",IF(INT($B920)=PlanDate,"Due today",IF(AND(INDEX(Buffers!$L:$L,MATCH($H920,Buffers!$AE:$AE,0))="Planned",$E920&gt;0,INT($B920)&lt;=PlanDate+ROUNDUP(IF(ISNUMBER(SpikeHorizon),SpikeHorizon,INDEX(Buffers!$D:$D,MATCH($H920,Buffers!$AE:$AE,0))),0),$E920&gt;=SpikePct*INDEX(Buffers!$P:$P,MATCH($H920,Buffers!$AE:$AE,0))),"Spike","Not qualified"))))))</f>
        <v/>
      </c>
      <c r="G920" s="8" t="str">
        <f aca="false">IF($A920="","",IF(OR($F920="Past due",$F920="Due today",$F920="Spike"),$C920,0))</f>
        <v/>
      </c>
      <c r="H920" s="8" t="str">
        <f aca="false">IF($A920="","",SUBSTITUTE(SUBSTITUTE(SUBSTITUTE($A920&amp;"","~","~~"),"*","~*"),"?","~?"))</f>
        <v/>
      </c>
    </row>
    <row r="921" customFormat="false" ht="15" hidden="false" customHeight="false" outlineLevel="0" collapsed="false">
      <c r="A921" s="11"/>
      <c r="B921" s="6"/>
      <c r="C921" s="11"/>
      <c r="D921" s="11"/>
      <c r="E921" s="8" t="str">
        <f aca="false">IF($A921="","",SUMIFS($C:$C,$A:$A,$H921,$B:$B,"&gt;="&amp;INT($B921),$B:$B,"&lt;"&amp;(INT($B921)+1)))</f>
        <v/>
      </c>
      <c r="F921" s="19" t="str">
        <f aca="false">IF($A921="","",IF(ISNA(MATCH($H921,Buffers!$AE:$AE,0)),"Not on Buffers",IF(NOT(ISNUMBER($B921)),"Needs a date",IF(INT($B921)&lt;PlanDate,"Past due",IF(INT($B921)=PlanDate,"Due today",IF(AND(INDEX(Buffers!$L:$L,MATCH($H921,Buffers!$AE:$AE,0))="Planned",$E921&gt;0,INT($B921)&lt;=PlanDate+ROUNDUP(IF(ISNUMBER(SpikeHorizon),SpikeHorizon,INDEX(Buffers!$D:$D,MATCH($H921,Buffers!$AE:$AE,0))),0),$E921&gt;=SpikePct*INDEX(Buffers!$P:$P,MATCH($H921,Buffers!$AE:$AE,0))),"Spike","Not qualified"))))))</f>
        <v/>
      </c>
      <c r="G921" s="8" t="str">
        <f aca="false">IF($A921="","",IF(OR($F921="Past due",$F921="Due today",$F921="Spike"),$C921,0))</f>
        <v/>
      </c>
      <c r="H921" s="8" t="str">
        <f aca="false">IF($A921="","",SUBSTITUTE(SUBSTITUTE(SUBSTITUTE($A921&amp;"","~","~~"),"*","~*"),"?","~?"))</f>
        <v/>
      </c>
    </row>
    <row r="922" customFormat="false" ht="15" hidden="false" customHeight="false" outlineLevel="0" collapsed="false">
      <c r="A922" s="11"/>
      <c r="B922" s="6"/>
      <c r="C922" s="11"/>
      <c r="D922" s="11"/>
      <c r="E922" s="8" t="str">
        <f aca="false">IF($A922="","",SUMIFS($C:$C,$A:$A,$H922,$B:$B,"&gt;="&amp;INT($B922),$B:$B,"&lt;"&amp;(INT($B922)+1)))</f>
        <v/>
      </c>
      <c r="F922" s="19" t="str">
        <f aca="false">IF($A922="","",IF(ISNA(MATCH($H922,Buffers!$AE:$AE,0)),"Not on Buffers",IF(NOT(ISNUMBER($B922)),"Needs a date",IF(INT($B922)&lt;PlanDate,"Past due",IF(INT($B922)=PlanDate,"Due today",IF(AND(INDEX(Buffers!$L:$L,MATCH($H922,Buffers!$AE:$AE,0))="Planned",$E922&gt;0,INT($B922)&lt;=PlanDate+ROUNDUP(IF(ISNUMBER(SpikeHorizon),SpikeHorizon,INDEX(Buffers!$D:$D,MATCH($H922,Buffers!$AE:$AE,0))),0),$E922&gt;=SpikePct*INDEX(Buffers!$P:$P,MATCH($H922,Buffers!$AE:$AE,0))),"Spike","Not qualified"))))))</f>
        <v/>
      </c>
      <c r="G922" s="8" t="str">
        <f aca="false">IF($A922="","",IF(OR($F922="Past due",$F922="Due today",$F922="Spike"),$C922,0))</f>
        <v/>
      </c>
      <c r="H922" s="8" t="str">
        <f aca="false">IF($A922="","",SUBSTITUTE(SUBSTITUTE(SUBSTITUTE($A922&amp;"","~","~~"),"*","~*"),"?","~?"))</f>
        <v/>
      </c>
    </row>
    <row r="923" customFormat="false" ht="15" hidden="false" customHeight="false" outlineLevel="0" collapsed="false">
      <c r="A923" s="11"/>
      <c r="B923" s="6"/>
      <c r="C923" s="11"/>
      <c r="D923" s="11"/>
      <c r="E923" s="8" t="str">
        <f aca="false">IF($A923="","",SUMIFS($C:$C,$A:$A,$H923,$B:$B,"&gt;="&amp;INT($B923),$B:$B,"&lt;"&amp;(INT($B923)+1)))</f>
        <v/>
      </c>
      <c r="F923" s="19" t="str">
        <f aca="false">IF($A923="","",IF(ISNA(MATCH($H923,Buffers!$AE:$AE,0)),"Not on Buffers",IF(NOT(ISNUMBER($B923)),"Needs a date",IF(INT($B923)&lt;PlanDate,"Past due",IF(INT($B923)=PlanDate,"Due today",IF(AND(INDEX(Buffers!$L:$L,MATCH($H923,Buffers!$AE:$AE,0))="Planned",$E923&gt;0,INT($B923)&lt;=PlanDate+ROUNDUP(IF(ISNUMBER(SpikeHorizon),SpikeHorizon,INDEX(Buffers!$D:$D,MATCH($H923,Buffers!$AE:$AE,0))),0),$E923&gt;=SpikePct*INDEX(Buffers!$P:$P,MATCH($H923,Buffers!$AE:$AE,0))),"Spike","Not qualified"))))))</f>
        <v/>
      </c>
      <c r="G923" s="8" t="str">
        <f aca="false">IF($A923="","",IF(OR($F923="Past due",$F923="Due today",$F923="Spike"),$C923,0))</f>
        <v/>
      </c>
      <c r="H923" s="8" t="str">
        <f aca="false">IF($A923="","",SUBSTITUTE(SUBSTITUTE(SUBSTITUTE($A923&amp;"","~","~~"),"*","~*"),"?","~?"))</f>
        <v/>
      </c>
    </row>
    <row r="924" customFormat="false" ht="15" hidden="false" customHeight="false" outlineLevel="0" collapsed="false">
      <c r="A924" s="11"/>
      <c r="B924" s="6"/>
      <c r="C924" s="11"/>
      <c r="D924" s="11"/>
      <c r="E924" s="8" t="str">
        <f aca="false">IF($A924="","",SUMIFS($C:$C,$A:$A,$H924,$B:$B,"&gt;="&amp;INT($B924),$B:$B,"&lt;"&amp;(INT($B924)+1)))</f>
        <v/>
      </c>
      <c r="F924" s="19" t="str">
        <f aca="false">IF($A924="","",IF(ISNA(MATCH($H924,Buffers!$AE:$AE,0)),"Not on Buffers",IF(NOT(ISNUMBER($B924)),"Needs a date",IF(INT($B924)&lt;PlanDate,"Past due",IF(INT($B924)=PlanDate,"Due today",IF(AND(INDEX(Buffers!$L:$L,MATCH($H924,Buffers!$AE:$AE,0))="Planned",$E924&gt;0,INT($B924)&lt;=PlanDate+ROUNDUP(IF(ISNUMBER(SpikeHorizon),SpikeHorizon,INDEX(Buffers!$D:$D,MATCH($H924,Buffers!$AE:$AE,0))),0),$E924&gt;=SpikePct*INDEX(Buffers!$P:$P,MATCH($H924,Buffers!$AE:$AE,0))),"Spike","Not qualified"))))))</f>
        <v/>
      </c>
      <c r="G924" s="8" t="str">
        <f aca="false">IF($A924="","",IF(OR($F924="Past due",$F924="Due today",$F924="Spike"),$C924,0))</f>
        <v/>
      </c>
      <c r="H924" s="8" t="str">
        <f aca="false">IF($A924="","",SUBSTITUTE(SUBSTITUTE(SUBSTITUTE($A924&amp;"","~","~~"),"*","~*"),"?","~?"))</f>
        <v/>
      </c>
    </row>
    <row r="925" customFormat="false" ht="15" hidden="false" customHeight="false" outlineLevel="0" collapsed="false">
      <c r="A925" s="11"/>
      <c r="B925" s="6"/>
      <c r="C925" s="11"/>
      <c r="D925" s="11"/>
      <c r="E925" s="8" t="str">
        <f aca="false">IF($A925="","",SUMIFS($C:$C,$A:$A,$H925,$B:$B,"&gt;="&amp;INT($B925),$B:$B,"&lt;"&amp;(INT($B925)+1)))</f>
        <v/>
      </c>
      <c r="F925" s="19" t="str">
        <f aca="false">IF($A925="","",IF(ISNA(MATCH($H925,Buffers!$AE:$AE,0)),"Not on Buffers",IF(NOT(ISNUMBER($B925)),"Needs a date",IF(INT($B925)&lt;PlanDate,"Past due",IF(INT($B925)=PlanDate,"Due today",IF(AND(INDEX(Buffers!$L:$L,MATCH($H925,Buffers!$AE:$AE,0))="Planned",$E925&gt;0,INT($B925)&lt;=PlanDate+ROUNDUP(IF(ISNUMBER(SpikeHorizon),SpikeHorizon,INDEX(Buffers!$D:$D,MATCH($H925,Buffers!$AE:$AE,0))),0),$E925&gt;=SpikePct*INDEX(Buffers!$P:$P,MATCH($H925,Buffers!$AE:$AE,0))),"Spike","Not qualified"))))))</f>
        <v/>
      </c>
      <c r="G925" s="8" t="str">
        <f aca="false">IF($A925="","",IF(OR($F925="Past due",$F925="Due today",$F925="Spike"),$C925,0))</f>
        <v/>
      </c>
      <c r="H925" s="8" t="str">
        <f aca="false">IF($A925="","",SUBSTITUTE(SUBSTITUTE(SUBSTITUTE($A925&amp;"","~","~~"),"*","~*"),"?","~?"))</f>
        <v/>
      </c>
    </row>
    <row r="926" customFormat="false" ht="15" hidden="false" customHeight="false" outlineLevel="0" collapsed="false">
      <c r="A926" s="11"/>
      <c r="B926" s="6"/>
      <c r="C926" s="11"/>
      <c r="D926" s="11"/>
      <c r="E926" s="8" t="str">
        <f aca="false">IF($A926="","",SUMIFS($C:$C,$A:$A,$H926,$B:$B,"&gt;="&amp;INT($B926),$B:$B,"&lt;"&amp;(INT($B926)+1)))</f>
        <v/>
      </c>
      <c r="F926" s="19" t="str">
        <f aca="false">IF($A926="","",IF(ISNA(MATCH($H926,Buffers!$AE:$AE,0)),"Not on Buffers",IF(NOT(ISNUMBER($B926)),"Needs a date",IF(INT($B926)&lt;PlanDate,"Past due",IF(INT($B926)=PlanDate,"Due today",IF(AND(INDEX(Buffers!$L:$L,MATCH($H926,Buffers!$AE:$AE,0))="Planned",$E926&gt;0,INT($B926)&lt;=PlanDate+ROUNDUP(IF(ISNUMBER(SpikeHorizon),SpikeHorizon,INDEX(Buffers!$D:$D,MATCH($H926,Buffers!$AE:$AE,0))),0),$E926&gt;=SpikePct*INDEX(Buffers!$P:$P,MATCH($H926,Buffers!$AE:$AE,0))),"Spike","Not qualified"))))))</f>
        <v/>
      </c>
      <c r="G926" s="8" t="str">
        <f aca="false">IF($A926="","",IF(OR($F926="Past due",$F926="Due today",$F926="Spike"),$C926,0))</f>
        <v/>
      </c>
      <c r="H926" s="8" t="str">
        <f aca="false">IF($A926="","",SUBSTITUTE(SUBSTITUTE(SUBSTITUTE($A926&amp;"","~","~~"),"*","~*"),"?","~?"))</f>
        <v/>
      </c>
    </row>
    <row r="927" customFormat="false" ht="15" hidden="false" customHeight="false" outlineLevel="0" collapsed="false">
      <c r="A927" s="11"/>
      <c r="B927" s="6"/>
      <c r="C927" s="11"/>
      <c r="D927" s="11"/>
      <c r="E927" s="8" t="str">
        <f aca="false">IF($A927="","",SUMIFS($C:$C,$A:$A,$H927,$B:$B,"&gt;="&amp;INT($B927),$B:$B,"&lt;"&amp;(INT($B927)+1)))</f>
        <v/>
      </c>
      <c r="F927" s="19" t="str">
        <f aca="false">IF($A927="","",IF(ISNA(MATCH($H927,Buffers!$AE:$AE,0)),"Not on Buffers",IF(NOT(ISNUMBER($B927)),"Needs a date",IF(INT($B927)&lt;PlanDate,"Past due",IF(INT($B927)=PlanDate,"Due today",IF(AND(INDEX(Buffers!$L:$L,MATCH($H927,Buffers!$AE:$AE,0))="Planned",$E927&gt;0,INT($B927)&lt;=PlanDate+ROUNDUP(IF(ISNUMBER(SpikeHorizon),SpikeHorizon,INDEX(Buffers!$D:$D,MATCH($H927,Buffers!$AE:$AE,0))),0),$E927&gt;=SpikePct*INDEX(Buffers!$P:$P,MATCH($H927,Buffers!$AE:$AE,0))),"Spike","Not qualified"))))))</f>
        <v/>
      </c>
      <c r="G927" s="8" t="str">
        <f aca="false">IF($A927="","",IF(OR($F927="Past due",$F927="Due today",$F927="Spike"),$C927,0))</f>
        <v/>
      </c>
      <c r="H927" s="8" t="str">
        <f aca="false">IF($A927="","",SUBSTITUTE(SUBSTITUTE(SUBSTITUTE($A927&amp;"","~","~~"),"*","~*"),"?","~?"))</f>
        <v/>
      </c>
    </row>
    <row r="928" customFormat="false" ht="15" hidden="false" customHeight="false" outlineLevel="0" collapsed="false">
      <c r="A928" s="11"/>
      <c r="B928" s="6"/>
      <c r="C928" s="11"/>
      <c r="D928" s="11"/>
      <c r="E928" s="8" t="str">
        <f aca="false">IF($A928="","",SUMIFS($C:$C,$A:$A,$H928,$B:$B,"&gt;="&amp;INT($B928),$B:$B,"&lt;"&amp;(INT($B928)+1)))</f>
        <v/>
      </c>
      <c r="F928" s="19" t="str">
        <f aca="false">IF($A928="","",IF(ISNA(MATCH($H928,Buffers!$AE:$AE,0)),"Not on Buffers",IF(NOT(ISNUMBER($B928)),"Needs a date",IF(INT($B928)&lt;PlanDate,"Past due",IF(INT($B928)=PlanDate,"Due today",IF(AND(INDEX(Buffers!$L:$L,MATCH($H928,Buffers!$AE:$AE,0))="Planned",$E928&gt;0,INT($B928)&lt;=PlanDate+ROUNDUP(IF(ISNUMBER(SpikeHorizon),SpikeHorizon,INDEX(Buffers!$D:$D,MATCH($H928,Buffers!$AE:$AE,0))),0),$E928&gt;=SpikePct*INDEX(Buffers!$P:$P,MATCH($H928,Buffers!$AE:$AE,0))),"Spike","Not qualified"))))))</f>
        <v/>
      </c>
      <c r="G928" s="8" t="str">
        <f aca="false">IF($A928="","",IF(OR($F928="Past due",$F928="Due today",$F928="Spike"),$C928,0))</f>
        <v/>
      </c>
      <c r="H928" s="8" t="str">
        <f aca="false">IF($A928="","",SUBSTITUTE(SUBSTITUTE(SUBSTITUTE($A928&amp;"","~","~~"),"*","~*"),"?","~?"))</f>
        <v/>
      </c>
    </row>
    <row r="929" customFormat="false" ht="15" hidden="false" customHeight="false" outlineLevel="0" collapsed="false">
      <c r="A929" s="11"/>
      <c r="B929" s="6"/>
      <c r="C929" s="11"/>
      <c r="D929" s="11"/>
      <c r="E929" s="8" t="str">
        <f aca="false">IF($A929="","",SUMIFS($C:$C,$A:$A,$H929,$B:$B,"&gt;="&amp;INT($B929),$B:$B,"&lt;"&amp;(INT($B929)+1)))</f>
        <v/>
      </c>
      <c r="F929" s="19" t="str">
        <f aca="false">IF($A929="","",IF(ISNA(MATCH($H929,Buffers!$AE:$AE,0)),"Not on Buffers",IF(NOT(ISNUMBER($B929)),"Needs a date",IF(INT($B929)&lt;PlanDate,"Past due",IF(INT($B929)=PlanDate,"Due today",IF(AND(INDEX(Buffers!$L:$L,MATCH($H929,Buffers!$AE:$AE,0))="Planned",$E929&gt;0,INT($B929)&lt;=PlanDate+ROUNDUP(IF(ISNUMBER(SpikeHorizon),SpikeHorizon,INDEX(Buffers!$D:$D,MATCH($H929,Buffers!$AE:$AE,0))),0),$E929&gt;=SpikePct*INDEX(Buffers!$P:$P,MATCH($H929,Buffers!$AE:$AE,0))),"Spike","Not qualified"))))))</f>
        <v/>
      </c>
      <c r="G929" s="8" t="str">
        <f aca="false">IF($A929="","",IF(OR($F929="Past due",$F929="Due today",$F929="Spike"),$C929,0))</f>
        <v/>
      </c>
      <c r="H929" s="8" t="str">
        <f aca="false">IF($A929="","",SUBSTITUTE(SUBSTITUTE(SUBSTITUTE($A929&amp;"","~","~~"),"*","~*"),"?","~?"))</f>
        <v/>
      </c>
    </row>
    <row r="930" customFormat="false" ht="15" hidden="false" customHeight="false" outlineLevel="0" collapsed="false">
      <c r="A930" s="11"/>
      <c r="B930" s="6"/>
      <c r="C930" s="11"/>
      <c r="D930" s="11"/>
      <c r="E930" s="8" t="str">
        <f aca="false">IF($A930="","",SUMIFS($C:$C,$A:$A,$H930,$B:$B,"&gt;="&amp;INT($B930),$B:$B,"&lt;"&amp;(INT($B930)+1)))</f>
        <v/>
      </c>
      <c r="F930" s="19" t="str">
        <f aca="false">IF($A930="","",IF(ISNA(MATCH($H930,Buffers!$AE:$AE,0)),"Not on Buffers",IF(NOT(ISNUMBER($B930)),"Needs a date",IF(INT($B930)&lt;PlanDate,"Past due",IF(INT($B930)=PlanDate,"Due today",IF(AND(INDEX(Buffers!$L:$L,MATCH($H930,Buffers!$AE:$AE,0))="Planned",$E930&gt;0,INT($B930)&lt;=PlanDate+ROUNDUP(IF(ISNUMBER(SpikeHorizon),SpikeHorizon,INDEX(Buffers!$D:$D,MATCH($H930,Buffers!$AE:$AE,0))),0),$E930&gt;=SpikePct*INDEX(Buffers!$P:$P,MATCH($H930,Buffers!$AE:$AE,0))),"Spike","Not qualified"))))))</f>
        <v/>
      </c>
      <c r="G930" s="8" t="str">
        <f aca="false">IF($A930="","",IF(OR($F930="Past due",$F930="Due today",$F930="Spike"),$C930,0))</f>
        <v/>
      </c>
      <c r="H930" s="8" t="str">
        <f aca="false">IF($A930="","",SUBSTITUTE(SUBSTITUTE(SUBSTITUTE($A930&amp;"","~","~~"),"*","~*"),"?","~?"))</f>
        <v/>
      </c>
    </row>
    <row r="931" customFormat="false" ht="15" hidden="false" customHeight="false" outlineLevel="0" collapsed="false">
      <c r="A931" s="11"/>
      <c r="B931" s="6"/>
      <c r="C931" s="11"/>
      <c r="D931" s="11"/>
      <c r="E931" s="8" t="str">
        <f aca="false">IF($A931="","",SUMIFS($C:$C,$A:$A,$H931,$B:$B,"&gt;="&amp;INT($B931),$B:$B,"&lt;"&amp;(INT($B931)+1)))</f>
        <v/>
      </c>
      <c r="F931" s="19" t="str">
        <f aca="false">IF($A931="","",IF(ISNA(MATCH($H931,Buffers!$AE:$AE,0)),"Not on Buffers",IF(NOT(ISNUMBER($B931)),"Needs a date",IF(INT($B931)&lt;PlanDate,"Past due",IF(INT($B931)=PlanDate,"Due today",IF(AND(INDEX(Buffers!$L:$L,MATCH($H931,Buffers!$AE:$AE,0))="Planned",$E931&gt;0,INT($B931)&lt;=PlanDate+ROUNDUP(IF(ISNUMBER(SpikeHorizon),SpikeHorizon,INDEX(Buffers!$D:$D,MATCH($H931,Buffers!$AE:$AE,0))),0),$E931&gt;=SpikePct*INDEX(Buffers!$P:$P,MATCH($H931,Buffers!$AE:$AE,0))),"Spike","Not qualified"))))))</f>
        <v/>
      </c>
      <c r="G931" s="8" t="str">
        <f aca="false">IF($A931="","",IF(OR($F931="Past due",$F931="Due today",$F931="Spike"),$C931,0))</f>
        <v/>
      </c>
      <c r="H931" s="8" t="str">
        <f aca="false">IF($A931="","",SUBSTITUTE(SUBSTITUTE(SUBSTITUTE($A931&amp;"","~","~~"),"*","~*"),"?","~?"))</f>
        <v/>
      </c>
    </row>
    <row r="932" customFormat="false" ht="15" hidden="false" customHeight="false" outlineLevel="0" collapsed="false">
      <c r="A932" s="11"/>
      <c r="B932" s="6"/>
      <c r="C932" s="11"/>
      <c r="D932" s="11"/>
      <c r="E932" s="8" t="str">
        <f aca="false">IF($A932="","",SUMIFS($C:$C,$A:$A,$H932,$B:$B,"&gt;="&amp;INT($B932),$B:$B,"&lt;"&amp;(INT($B932)+1)))</f>
        <v/>
      </c>
      <c r="F932" s="19" t="str">
        <f aca="false">IF($A932="","",IF(ISNA(MATCH($H932,Buffers!$AE:$AE,0)),"Not on Buffers",IF(NOT(ISNUMBER($B932)),"Needs a date",IF(INT($B932)&lt;PlanDate,"Past due",IF(INT($B932)=PlanDate,"Due today",IF(AND(INDEX(Buffers!$L:$L,MATCH($H932,Buffers!$AE:$AE,0))="Planned",$E932&gt;0,INT($B932)&lt;=PlanDate+ROUNDUP(IF(ISNUMBER(SpikeHorizon),SpikeHorizon,INDEX(Buffers!$D:$D,MATCH($H932,Buffers!$AE:$AE,0))),0),$E932&gt;=SpikePct*INDEX(Buffers!$P:$P,MATCH($H932,Buffers!$AE:$AE,0))),"Spike","Not qualified"))))))</f>
        <v/>
      </c>
      <c r="G932" s="8" t="str">
        <f aca="false">IF($A932="","",IF(OR($F932="Past due",$F932="Due today",$F932="Spike"),$C932,0))</f>
        <v/>
      </c>
      <c r="H932" s="8" t="str">
        <f aca="false">IF($A932="","",SUBSTITUTE(SUBSTITUTE(SUBSTITUTE($A932&amp;"","~","~~"),"*","~*"),"?","~?"))</f>
        <v/>
      </c>
    </row>
    <row r="933" customFormat="false" ht="15" hidden="false" customHeight="false" outlineLevel="0" collapsed="false">
      <c r="A933" s="11"/>
      <c r="B933" s="6"/>
      <c r="C933" s="11"/>
      <c r="D933" s="11"/>
      <c r="E933" s="8" t="str">
        <f aca="false">IF($A933="","",SUMIFS($C:$C,$A:$A,$H933,$B:$B,"&gt;="&amp;INT($B933),$B:$B,"&lt;"&amp;(INT($B933)+1)))</f>
        <v/>
      </c>
      <c r="F933" s="19" t="str">
        <f aca="false">IF($A933="","",IF(ISNA(MATCH($H933,Buffers!$AE:$AE,0)),"Not on Buffers",IF(NOT(ISNUMBER($B933)),"Needs a date",IF(INT($B933)&lt;PlanDate,"Past due",IF(INT($B933)=PlanDate,"Due today",IF(AND(INDEX(Buffers!$L:$L,MATCH($H933,Buffers!$AE:$AE,0))="Planned",$E933&gt;0,INT($B933)&lt;=PlanDate+ROUNDUP(IF(ISNUMBER(SpikeHorizon),SpikeHorizon,INDEX(Buffers!$D:$D,MATCH($H933,Buffers!$AE:$AE,0))),0),$E933&gt;=SpikePct*INDEX(Buffers!$P:$P,MATCH($H933,Buffers!$AE:$AE,0))),"Spike","Not qualified"))))))</f>
        <v/>
      </c>
      <c r="G933" s="8" t="str">
        <f aca="false">IF($A933="","",IF(OR($F933="Past due",$F933="Due today",$F933="Spike"),$C933,0))</f>
        <v/>
      </c>
      <c r="H933" s="8" t="str">
        <f aca="false">IF($A933="","",SUBSTITUTE(SUBSTITUTE(SUBSTITUTE($A933&amp;"","~","~~"),"*","~*"),"?","~?"))</f>
        <v/>
      </c>
    </row>
    <row r="934" customFormat="false" ht="15" hidden="false" customHeight="false" outlineLevel="0" collapsed="false">
      <c r="A934" s="11"/>
      <c r="B934" s="6"/>
      <c r="C934" s="11"/>
      <c r="D934" s="11"/>
      <c r="E934" s="8" t="str">
        <f aca="false">IF($A934="","",SUMIFS($C:$C,$A:$A,$H934,$B:$B,"&gt;="&amp;INT($B934),$B:$B,"&lt;"&amp;(INT($B934)+1)))</f>
        <v/>
      </c>
      <c r="F934" s="19" t="str">
        <f aca="false">IF($A934="","",IF(ISNA(MATCH($H934,Buffers!$AE:$AE,0)),"Not on Buffers",IF(NOT(ISNUMBER($B934)),"Needs a date",IF(INT($B934)&lt;PlanDate,"Past due",IF(INT($B934)=PlanDate,"Due today",IF(AND(INDEX(Buffers!$L:$L,MATCH($H934,Buffers!$AE:$AE,0))="Planned",$E934&gt;0,INT($B934)&lt;=PlanDate+ROUNDUP(IF(ISNUMBER(SpikeHorizon),SpikeHorizon,INDEX(Buffers!$D:$D,MATCH($H934,Buffers!$AE:$AE,0))),0),$E934&gt;=SpikePct*INDEX(Buffers!$P:$P,MATCH($H934,Buffers!$AE:$AE,0))),"Spike","Not qualified"))))))</f>
        <v/>
      </c>
      <c r="G934" s="8" t="str">
        <f aca="false">IF($A934="","",IF(OR($F934="Past due",$F934="Due today",$F934="Spike"),$C934,0))</f>
        <v/>
      </c>
      <c r="H934" s="8" t="str">
        <f aca="false">IF($A934="","",SUBSTITUTE(SUBSTITUTE(SUBSTITUTE($A934&amp;"","~","~~"),"*","~*"),"?","~?"))</f>
        <v/>
      </c>
    </row>
    <row r="935" customFormat="false" ht="15" hidden="false" customHeight="false" outlineLevel="0" collapsed="false">
      <c r="A935" s="11"/>
      <c r="B935" s="6"/>
      <c r="C935" s="11"/>
      <c r="D935" s="11"/>
      <c r="E935" s="8" t="str">
        <f aca="false">IF($A935="","",SUMIFS($C:$C,$A:$A,$H935,$B:$B,"&gt;="&amp;INT($B935),$B:$B,"&lt;"&amp;(INT($B935)+1)))</f>
        <v/>
      </c>
      <c r="F935" s="19" t="str">
        <f aca="false">IF($A935="","",IF(ISNA(MATCH($H935,Buffers!$AE:$AE,0)),"Not on Buffers",IF(NOT(ISNUMBER($B935)),"Needs a date",IF(INT($B935)&lt;PlanDate,"Past due",IF(INT($B935)=PlanDate,"Due today",IF(AND(INDEX(Buffers!$L:$L,MATCH($H935,Buffers!$AE:$AE,0))="Planned",$E935&gt;0,INT($B935)&lt;=PlanDate+ROUNDUP(IF(ISNUMBER(SpikeHorizon),SpikeHorizon,INDEX(Buffers!$D:$D,MATCH($H935,Buffers!$AE:$AE,0))),0),$E935&gt;=SpikePct*INDEX(Buffers!$P:$P,MATCH($H935,Buffers!$AE:$AE,0))),"Spike","Not qualified"))))))</f>
        <v/>
      </c>
      <c r="G935" s="8" t="str">
        <f aca="false">IF($A935="","",IF(OR($F935="Past due",$F935="Due today",$F935="Spike"),$C935,0))</f>
        <v/>
      </c>
      <c r="H935" s="8" t="str">
        <f aca="false">IF($A935="","",SUBSTITUTE(SUBSTITUTE(SUBSTITUTE($A935&amp;"","~","~~"),"*","~*"),"?","~?"))</f>
        <v/>
      </c>
    </row>
    <row r="936" customFormat="false" ht="15" hidden="false" customHeight="false" outlineLevel="0" collapsed="false">
      <c r="A936" s="11"/>
      <c r="B936" s="6"/>
      <c r="C936" s="11"/>
      <c r="D936" s="11"/>
      <c r="E936" s="8" t="str">
        <f aca="false">IF($A936="","",SUMIFS($C:$C,$A:$A,$H936,$B:$B,"&gt;="&amp;INT($B936),$B:$B,"&lt;"&amp;(INT($B936)+1)))</f>
        <v/>
      </c>
      <c r="F936" s="19" t="str">
        <f aca="false">IF($A936="","",IF(ISNA(MATCH($H936,Buffers!$AE:$AE,0)),"Not on Buffers",IF(NOT(ISNUMBER($B936)),"Needs a date",IF(INT($B936)&lt;PlanDate,"Past due",IF(INT($B936)=PlanDate,"Due today",IF(AND(INDEX(Buffers!$L:$L,MATCH($H936,Buffers!$AE:$AE,0))="Planned",$E936&gt;0,INT($B936)&lt;=PlanDate+ROUNDUP(IF(ISNUMBER(SpikeHorizon),SpikeHorizon,INDEX(Buffers!$D:$D,MATCH($H936,Buffers!$AE:$AE,0))),0),$E936&gt;=SpikePct*INDEX(Buffers!$P:$P,MATCH($H936,Buffers!$AE:$AE,0))),"Spike","Not qualified"))))))</f>
        <v/>
      </c>
      <c r="G936" s="8" t="str">
        <f aca="false">IF($A936="","",IF(OR($F936="Past due",$F936="Due today",$F936="Spike"),$C936,0))</f>
        <v/>
      </c>
      <c r="H936" s="8" t="str">
        <f aca="false">IF($A936="","",SUBSTITUTE(SUBSTITUTE(SUBSTITUTE($A936&amp;"","~","~~"),"*","~*"),"?","~?"))</f>
        <v/>
      </c>
    </row>
    <row r="937" customFormat="false" ht="15" hidden="false" customHeight="false" outlineLevel="0" collapsed="false">
      <c r="A937" s="11"/>
      <c r="B937" s="6"/>
      <c r="C937" s="11"/>
      <c r="D937" s="11"/>
      <c r="E937" s="8" t="str">
        <f aca="false">IF($A937="","",SUMIFS($C:$C,$A:$A,$H937,$B:$B,"&gt;="&amp;INT($B937),$B:$B,"&lt;"&amp;(INT($B937)+1)))</f>
        <v/>
      </c>
      <c r="F937" s="19" t="str">
        <f aca="false">IF($A937="","",IF(ISNA(MATCH($H937,Buffers!$AE:$AE,0)),"Not on Buffers",IF(NOT(ISNUMBER($B937)),"Needs a date",IF(INT($B937)&lt;PlanDate,"Past due",IF(INT($B937)=PlanDate,"Due today",IF(AND(INDEX(Buffers!$L:$L,MATCH($H937,Buffers!$AE:$AE,0))="Planned",$E937&gt;0,INT($B937)&lt;=PlanDate+ROUNDUP(IF(ISNUMBER(SpikeHorizon),SpikeHorizon,INDEX(Buffers!$D:$D,MATCH($H937,Buffers!$AE:$AE,0))),0),$E937&gt;=SpikePct*INDEX(Buffers!$P:$P,MATCH($H937,Buffers!$AE:$AE,0))),"Spike","Not qualified"))))))</f>
        <v/>
      </c>
      <c r="G937" s="8" t="str">
        <f aca="false">IF($A937="","",IF(OR($F937="Past due",$F937="Due today",$F937="Spike"),$C937,0))</f>
        <v/>
      </c>
      <c r="H937" s="8" t="str">
        <f aca="false">IF($A937="","",SUBSTITUTE(SUBSTITUTE(SUBSTITUTE($A937&amp;"","~","~~"),"*","~*"),"?","~?"))</f>
        <v/>
      </c>
    </row>
    <row r="938" customFormat="false" ht="15" hidden="false" customHeight="false" outlineLevel="0" collapsed="false">
      <c r="A938" s="11"/>
      <c r="B938" s="6"/>
      <c r="C938" s="11"/>
      <c r="D938" s="11"/>
      <c r="E938" s="8" t="str">
        <f aca="false">IF($A938="","",SUMIFS($C:$C,$A:$A,$H938,$B:$B,"&gt;="&amp;INT($B938),$B:$B,"&lt;"&amp;(INT($B938)+1)))</f>
        <v/>
      </c>
      <c r="F938" s="19" t="str">
        <f aca="false">IF($A938="","",IF(ISNA(MATCH($H938,Buffers!$AE:$AE,0)),"Not on Buffers",IF(NOT(ISNUMBER($B938)),"Needs a date",IF(INT($B938)&lt;PlanDate,"Past due",IF(INT($B938)=PlanDate,"Due today",IF(AND(INDEX(Buffers!$L:$L,MATCH($H938,Buffers!$AE:$AE,0))="Planned",$E938&gt;0,INT($B938)&lt;=PlanDate+ROUNDUP(IF(ISNUMBER(SpikeHorizon),SpikeHorizon,INDEX(Buffers!$D:$D,MATCH($H938,Buffers!$AE:$AE,0))),0),$E938&gt;=SpikePct*INDEX(Buffers!$P:$P,MATCH($H938,Buffers!$AE:$AE,0))),"Spike","Not qualified"))))))</f>
        <v/>
      </c>
      <c r="G938" s="8" t="str">
        <f aca="false">IF($A938="","",IF(OR($F938="Past due",$F938="Due today",$F938="Spike"),$C938,0))</f>
        <v/>
      </c>
      <c r="H938" s="8" t="str">
        <f aca="false">IF($A938="","",SUBSTITUTE(SUBSTITUTE(SUBSTITUTE($A938&amp;"","~","~~"),"*","~*"),"?","~?"))</f>
        <v/>
      </c>
    </row>
    <row r="939" customFormat="false" ht="15" hidden="false" customHeight="false" outlineLevel="0" collapsed="false">
      <c r="A939" s="11"/>
      <c r="B939" s="6"/>
      <c r="C939" s="11"/>
      <c r="D939" s="11"/>
      <c r="E939" s="8" t="str">
        <f aca="false">IF($A939="","",SUMIFS($C:$C,$A:$A,$H939,$B:$B,"&gt;="&amp;INT($B939),$B:$B,"&lt;"&amp;(INT($B939)+1)))</f>
        <v/>
      </c>
      <c r="F939" s="19" t="str">
        <f aca="false">IF($A939="","",IF(ISNA(MATCH($H939,Buffers!$AE:$AE,0)),"Not on Buffers",IF(NOT(ISNUMBER($B939)),"Needs a date",IF(INT($B939)&lt;PlanDate,"Past due",IF(INT($B939)=PlanDate,"Due today",IF(AND(INDEX(Buffers!$L:$L,MATCH($H939,Buffers!$AE:$AE,0))="Planned",$E939&gt;0,INT($B939)&lt;=PlanDate+ROUNDUP(IF(ISNUMBER(SpikeHorizon),SpikeHorizon,INDEX(Buffers!$D:$D,MATCH($H939,Buffers!$AE:$AE,0))),0),$E939&gt;=SpikePct*INDEX(Buffers!$P:$P,MATCH($H939,Buffers!$AE:$AE,0))),"Spike","Not qualified"))))))</f>
        <v/>
      </c>
      <c r="G939" s="8" t="str">
        <f aca="false">IF($A939="","",IF(OR($F939="Past due",$F939="Due today",$F939="Spike"),$C939,0))</f>
        <v/>
      </c>
      <c r="H939" s="8" t="str">
        <f aca="false">IF($A939="","",SUBSTITUTE(SUBSTITUTE(SUBSTITUTE($A939&amp;"","~","~~"),"*","~*"),"?","~?"))</f>
        <v/>
      </c>
    </row>
    <row r="940" customFormat="false" ht="15" hidden="false" customHeight="false" outlineLevel="0" collapsed="false">
      <c r="A940" s="11"/>
      <c r="B940" s="6"/>
      <c r="C940" s="11"/>
      <c r="D940" s="11"/>
      <c r="E940" s="8" t="str">
        <f aca="false">IF($A940="","",SUMIFS($C:$C,$A:$A,$H940,$B:$B,"&gt;="&amp;INT($B940),$B:$B,"&lt;"&amp;(INT($B940)+1)))</f>
        <v/>
      </c>
      <c r="F940" s="19" t="str">
        <f aca="false">IF($A940="","",IF(ISNA(MATCH($H940,Buffers!$AE:$AE,0)),"Not on Buffers",IF(NOT(ISNUMBER($B940)),"Needs a date",IF(INT($B940)&lt;PlanDate,"Past due",IF(INT($B940)=PlanDate,"Due today",IF(AND(INDEX(Buffers!$L:$L,MATCH($H940,Buffers!$AE:$AE,0))="Planned",$E940&gt;0,INT($B940)&lt;=PlanDate+ROUNDUP(IF(ISNUMBER(SpikeHorizon),SpikeHorizon,INDEX(Buffers!$D:$D,MATCH($H940,Buffers!$AE:$AE,0))),0),$E940&gt;=SpikePct*INDEX(Buffers!$P:$P,MATCH($H940,Buffers!$AE:$AE,0))),"Spike","Not qualified"))))))</f>
        <v/>
      </c>
      <c r="G940" s="8" t="str">
        <f aca="false">IF($A940="","",IF(OR($F940="Past due",$F940="Due today",$F940="Spike"),$C940,0))</f>
        <v/>
      </c>
      <c r="H940" s="8" t="str">
        <f aca="false">IF($A940="","",SUBSTITUTE(SUBSTITUTE(SUBSTITUTE($A940&amp;"","~","~~"),"*","~*"),"?","~?"))</f>
        <v/>
      </c>
    </row>
    <row r="941" customFormat="false" ht="15" hidden="false" customHeight="false" outlineLevel="0" collapsed="false">
      <c r="A941" s="11"/>
      <c r="B941" s="6"/>
      <c r="C941" s="11"/>
      <c r="D941" s="11"/>
      <c r="E941" s="8" t="str">
        <f aca="false">IF($A941="","",SUMIFS($C:$C,$A:$A,$H941,$B:$B,"&gt;="&amp;INT($B941),$B:$B,"&lt;"&amp;(INT($B941)+1)))</f>
        <v/>
      </c>
      <c r="F941" s="19" t="str">
        <f aca="false">IF($A941="","",IF(ISNA(MATCH($H941,Buffers!$AE:$AE,0)),"Not on Buffers",IF(NOT(ISNUMBER($B941)),"Needs a date",IF(INT($B941)&lt;PlanDate,"Past due",IF(INT($B941)=PlanDate,"Due today",IF(AND(INDEX(Buffers!$L:$L,MATCH($H941,Buffers!$AE:$AE,0))="Planned",$E941&gt;0,INT($B941)&lt;=PlanDate+ROUNDUP(IF(ISNUMBER(SpikeHorizon),SpikeHorizon,INDEX(Buffers!$D:$D,MATCH($H941,Buffers!$AE:$AE,0))),0),$E941&gt;=SpikePct*INDEX(Buffers!$P:$P,MATCH($H941,Buffers!$AE:$AE,0))),"Spike","Not qualified"))))))</f>
        <v/>
      </c>
      <c r="G941" s="8" t="str">
        <f aca="false">IF($A941="","",IF(OR($F941="Past due",$F941="Due today",$F941="Spike"),$C941,0))</f>
        <v/>
      </c>
      <c r="H941" s="8" t="str">
        <f aca="false">IF($A941="","",SUBSTITUTE(SUBSTITUTE(SUBSTITUTE($A941&amp;"","~","~~"),"*","~*"),"?","~?"))</f>
        <v/>
      </c>
    </row>
    <row r="942" customFormat="false" ht="15" hidden="false" customHeight="false" outlineLevel="0" collapsed="false">
      <c r="A942" s="11"/>
      <c r="B942" s="6"/>
      <c r="C942" s="11"/>
      <c r="D942" s="11"/>
      <c r="E942" s="8" t="str">
        <f aca="false">IF($A942="","",SUMIFS($C:$C,$A:$A,$H942,$B:$B,"&gt;="&amp;INT($B942),$B:$B,"&lt;"&amp;(INT($B942)+1)))</f>
        <v/>
      </c>
      <c r="F942" s="19" t="str">
        <f aca="false">IF($A942="","",IF(ISNA(MATCH($H942,Buffers!$AE:$AE,0)),"Not on Buffers",IF(NOT(ISNUMBER($B942)),"Needs a date",IF(INT($B942)&lt;PlanDate,"Past due",IF(INT($B942)=PlanDate,"Due today",IF(AND(INDEX(Buffers!$L:$L,MATCH($H942,Buffers!$AE:$AE,0))="Planned",$E942&gt;0,INT($B942)&lt;=PlanDate+ROUNDUP(IF(ISNUMBER(SpikeHorizon),SpikeHorizon,INDEX(Buffers!$D:$D,MATCH($H942,Buffers!$AE:$AE,0))),0),$E942&gt;=SpikePct*INDEX(Buffers!$P:$P,MATCH($H942,Buffers!$AE:$AE,0))),"Spike","Not qualified"))))))</f>
        <v/>
      </c>
      <c r="G942" s="8" t="str">
        <f aca="false">IF($A942="","",IF(OR($F942="Past due",$F942="Due today",$F942="Spike"),$C942,0))</f>
        <v/>
      </c>
      <c r="H942" s="8" t="str">
        <f aca="false">IF($A942="","",SUBSTITUTE(SUBSTITUTE(SUBSTITUTE($A942&amp;"","~","~~"),"*","~*"),"?","~?"))</f>
        <v/>
      </c>
    </row>
    <row r="943" customFormat="false" ht="15" hidden="false" customHeight="false" outlineLevel="0" collapsed="false">
      <c r="A943" s="11"/>
      <c r="B943" s="6"/>
      <c r="C943" s="11"/>
      <c r="D943" s="11"/>
      <c r="E943" s="8" t="str">
        <f aca="false">IF($A943="","",SUMIFS($C:$C,$A:$A,$H943,$B:$B,"&gt;="&amp;INT($B943),$B:$B,"&lt;"&amp;(INT($B943)+1)))</f>
        <v/>
      </c>
      <c r="F943" s="19" t="str">
        <f aca="false">IF($A943="","",IF(ISNA(MATCH($H943,Buffers!$AE:$AE,0)),"Not on Buffers",IF(NOT(ISNUMBER($B943)),"Needs a date",IF(INT($B943)&lt;PlanDate,"Past due",IF(INT($B943)=PlanDate,"Due today",IF(AND(INDEX(Buffers!$L:$L,MATCH($H943,Buffers!$AE:$AE,0))="Planned",$E943&gt;0,INT($B943)&lt;=PlanDate+ROUNDUP(IF(ISNUMBER(SpikeHorizon),SpikeHorizon,INDEX(Buffers!$D:$D,MATCH($H943,Buffers!$AE:$AE,0))),0),$E943&gt;=SpikePct*INDEX(Buffers!$P:$P,MATCH($H943,Buffers!$AE:$AE,0))),"Spike","Not qualified"))))))</f>
        <v/>
      </c>
      <c r="G943" s="8" t="str">
        <f aca="false">IF($A943="","",IF(OR($F943="Past due",$F943="Due today",$F943="Spike"),$C943,0))</f>
        <v/>
      </c>
      <c r="H943" s="8" t="str">
        <f aca="false">IF($A943="","",SUBSTITUTE(SUBSTITUTE(SUBSTITUTE($A943&amp;"","~","~~"),"*","~*"),"?","~?"))</f>
        <v/>
      </c>
    </row>
    <row r="944" customFormat="false" ht="15" hidden="false" customHeight="false" outlineLevel="0" collapsed="false">
      <c r="A944" s="11"/>
      <c r="B944" s="6"/>
      <c r="C944" s="11"/>
      <c r="D944" s="11"/>
      <c r="E944" s="8" t="str">
        <f aca="false">IF($A944="","",SUMIFS($C:$C,$A:$A,$H944,$B:$B,"&gt;="&amp;INT($B944),$B:$B,"&lt;"&amp;(INT($B944)+1)))</f>
        <v/>
      </c>
      <c r="F944" s="19" t="str">
        <f aca="false">IF($A944="","",IF(ISNA(MATCH($H944,Buffers!$AE:$AE,0)),"Not on Buffers",IF(NOT(ISNUMBER($B944)),"Needs a date",IF(INT($B944)&lt;PlanDate,"Past due",IF(INT($B944)=PlanDate,"Due today",IF(AND(INDEX(Buffers!$L:$L,MATCH($H944,Buffers!$AE:$AE,0))="Planned",$E944&gt;0,INT($B944)&lt;=PlanDate+ROUNDUP(IF(ISNUMBER(SpikeHorizon),SpikeHorizon,INDEX(Buffers!$D:$D,MATCH($H944,Buffers!$AE:$AE,0))),0),$E944&gt;=SpikePct*INDEX(Buffers!$P:$P,MATCH($H944,Buffers!$AE:$AE,0))),"Spike","Not qualified"))))))</f>
        <v/>
      </c>
      <c r="G944" s="8" t="str">
        <f aca="false">IF($A944="","",IF(OR($F944="Past due",$F944="Due today",$F944="Spike"),$C944,0))</f>
        <v/>
      </c>
      <c r="H944" s="8" t="str">
        <f aca="false">IF($A944="","",SUBSTITUTE(SUBSTITUTE(SUBSTITUTE($A944&amp;"","~","~~"),"*","~*"),"?","~?"))</f>
        <v/>
      </c>
    </row>
    <row r="945" customFormat="false" ht="15" hidden="false" customHeight="false" outlineLevel="0" collapsed="false">
      <c r="A945" s="11"/>
      <c r="B945" s="6"/>
      <c r="C945" s="11"/>
      <c r="D945" s="11"/>
      <c r="E945" s="8" t="str">
        <f aca="false">IF($A945="","",SUMIFS($C:$C,$A:$A,$H945,$B:$B,"&gt;="&amp;INT($B945),$B:$B,"&lt;"&amp;(INT($B945)+1)))</f>
        <v/>
      </c>
      <c r="F945" s="19" t="str">
        <f aca="false">IF($A945="","",IF(ISNA(MATCH($H945,Buffers!$AE:$AE,0)),"Not on Buffers",IF(NOT(ISNUMBER($B945)),"Needs a date",IF(INT($B945)&lt;PlanDate,"Past due",IF(INT($B945)=PlanDate,"Due today",IF(AND(INDEX(Buffers!$L:$L,MATCH($H945,Buffers!$AE:$AE,0))="Planned",$E945&gt;0,INT($B945)&lt;=PlanDate+ROUNDUP(IF(ISNUMBER(SpikeHorizon),SpikeHorizon,INDEX(Buffers!$D:$D,MATCH($H945,Buffers!$AE:$AE,0))),0),$E945&gt;=SpikePct*INDEX(Buffers!$P:$P,MATCH($H945,Buffers!$AE:$AE,0))),"Spike","Not qualified"))))))</f>
        <v/>
      </c>
      <c r="G945" s="8" t="str">
        <f aca="false">IF($A945="","",IF(OR($F945="Past due",$F945="Due today",$F945="Spike"),$C945,0))</f>
        <v/>
      </c>
      <c r="H945" s="8" t="str">
        <f aca="false">IF($A945="","",SUBSTITUTE(SUBSTITUTE(SUBSTITUTE($A945&amp;"","~","~~"),"*","~*"),"?","~?"))</f>
        <v/>
      </c>
    </row>
    <row r="946" customFormat="false" ht="15" hidden="false" customHeight="false" outlineLevel="0" collapsed="false">
      <c r="A946" s="11"/>
      <c r="B946" s="6"/>
      <c r="C946" s="11"/>
      <c r="D946" s="11"/>
      <c r="E946" s="8" t="str">
        <f aca="false">IF($A946="","",SUMIFS($C:$C,$A:$A,$H946,$B:$B,"&gt;="&amp;INT($B946),$B:$B,"&lt;"&amp;(INT($B946)+1)))</f>
        <v/>
      </c>
      <c r="F946" s="19" t="str">
        <f aca="false">IF($A946="","",IF(ISNA(MATCH($H946,Buffers!$AE:$AE,0)),"Not on Buffers",IF(NOT(ISNUMBER($B946)),"Needs a date",IF(INT($B946)&lt;PlanDate,"Past due",IF(INT($B946)=PlanDate,"Due today",IF(AND(INDEX(Buffers!$L:$L,MATCH($H946,Buffers!$AE:$AE,0))="Planned",$E946&gt;0,INT($B946)&lt;=PlanDate+ROUNDUP(IF(ISNUMBER(SpikeHorizon),SpikeHorizon,INDEX(Buffers!$D:$D,MATCH($H946,Buffers!$AE:$AE,0))),0),$E946&gt;=SpikePct*INDEX(Buffers!$P:$P,MATCH($H946,Buffers!$AE:$AE,0))),"Spike","Not qualified"))))))</f>
        <v/>
      </c>
      <c r="G946" s="8" t="str">
        <f aca="false">IF($A946="","",IF(OR($F946="Past due",$F946="Due today",$F946="Spike"),$C946,0))</f>
        <v/>
      </c>
      <c r="H946" s="8" t="str">
        <f aca="false">IF($A946="","",SUBSTITUTE(SUBSTITUTE(SUBSTITUTE($A946&amp;"","~","~~"),"*","~*"),"?","~?"))</f>
        <v/>
      </c>
    </row>
    <row r="947" customFormat="false" ht="15" hidden="false" customHeight="false" outlineLevel="0" collapsed="false">
      <c r="A947" s="11"/>
      <c r="B947" s="6"/>
      <c r="C947" s="11"/>
      <c r="D947" s="11"/>
      <c r="E947" s="8" t="str">
        <f aca="false">IF($A947="","",SUMIFS($C:$C,$A:$A,$H947,$B:$B,"&gt;="&amp;INT($B947),$B:$B,"&lt;"&amp;(INT($B947)+1)))</f>
        <v/>
      </c>
      <c r="F947" s="19" t="str">
        <f aca="false">IF($A947="","",IF(ISNA(MATCH($H947,Buffers!$AE:$AE,0)),"Not on Buffers",IF(NOT(ISNUMBER($B947)),"Needs a date",IF(INT($B947)&lt;PlanDate,"Past due",IF(INT($B947)=PlanDate,"Due today",IF(AND(INDEX(Buffers!$L:$L,MATCH($H947,Buffers!$AE:$AE,0))="Planned",$E947&gt;0,INT($B947)&lt;=PlanDate+ROUNDUP(IF(ISNUMBER(SpikeHorizon),SpikeHorizon,INDEX(Buffers!$D:$D,MATCH($H947,Buffers!$AE:$AE,0))),0),$E947&gt;=SpikePct*INDEX(Buffers!$P:$P,MATCH($H947,Buffers!$AE:$AE,0))),"Spike","Not qualified"))))))</f>
        <v/>
      </c>
      <c r="G947" s="8" t="str">
        <f aca="false">IF($A947="","",IF(OR($F947="Past due",$F947="Due today",$F947="Spike"),$C947,0))</f>
        <v/>
      </c>
      <c r="H947" s="8" t="str">
        <f aca="false">IF($A947="","",SUBSTITUTE(SUBSTITUTE(SUBSTITUTE($A947&amp;"","~","~~"),"*","~*"),"?","~?"))</f>
        <v/>
      </c>
    </row>
    <row r="948" customFormat="false" ht="15" hidden="false" customHeight="false" outlineLevel="0" collapsed="false">
      <c r="A948" s="11"/>
      <c r="B948" s="6"/>
      <c r="C948" s="11"/>
      <c r="D948" s="11"/>
      <c r="E948" s="8" t="str">
        <f aca="false">IF($A948="","",SUMIFS($C:$C,$A:$A,$H948,$B:$B,"&gt;="&amp;INT($B948),$B:$B,"&lt;"&amp;(INT($B948)+1)))</f>
        <v/>
      </c>
      <c r="F948" s="19" t="str">
        <f aca="false">IF($A948="","",IF(ISNA(MATCH($H948,Buffers!$AE:$AE,0)),"Not on Buffers",IF(NOT(ISNUMBER($B948)),"Needs a date",IF(INT($B948)&lt;PlanDate,"Past due",IF(INT($B948)=PlanDate,"Due today",IF(AND(INDEX(Buffers!$L:$L,MATCH($H948,Buffers!$AE:$AE,0))="Planned",$E948&gt;0,INT($B948)&lt;=PlanDate+ROUNDUP(IF(ISNUMBER(SpikeHorizon),SpikeHorizon,INDEX(Buffers!$D:$D,MATCH($H948,Buffers!$AE:$AE,0))),0),$E948&gt;=SpikePct*INDEX(Buffers!$P:$P,MATCH($H948,Buffers!$AE:$AE,0))),"Spike","Not qualified"))))))</f>
        <v/>
      </c>
      <c r="G948" s="8" t="str">
        <f aca="false">IF($A948="","",IF(OR($F948="Past due",$F948="Due today",$F948="Spike"),$C948,0))</f>
        <v/>
      </c>
      <c r="H948" s="8" t="str">
        <f aca="false">IF($A948="","",SUBSTITUTE(SUBSTITUTE(SUBSTITUTE($A948&amp;"","~","~~"),"*","~*"),"?","~?"))</f>
        <v/>
      </c>
    </row>
    <row r="949" customFormat="false" ht="15" hidden="false" customHeight="false" outlineLevel="0" collapsed="false">
      <c r="A949" s="11"/>
      <c r="B949" s="6"/>
      <c r="C949" s="11"/>
      <c r="D949" s="11"/>
      <c r="E949" s="8" t="str">
        <f aca="false">IF($A949="","",SUMIFS($C:$C,$A:$A,$H949,$B:$B,"&gt;="&amp;INT($B949),$B:$B,"&lt;"&amp;(INT($B949)+1)))</f>
        <v/>
      </c>
      <c r="F949" s="19" t="str">
        <f aca="false">IF($A949="","",IF(ISNA(MATCH($H949,Buffers!$AE:$AE,0)),"Not on Buffers",IF(NOT(ISNUMBER($B949)),"Needs a date",IF(INT($B949)&lt;PlanDate,"Past due",IF(INT($B949)=PlanDate,"Due today",IF(AND(INDEX(Buffers!$L:$L,MATCH($H949,Buffers!$AE:$AE,0))="Planned",$E949&gt;0,INT($B949)&lt;=PlanDate+ROUNDUP(IF(ISNUMBER(SpikeHorizon),SpikeHorizon,INDEX(Buffers!$D:$D,MATCH($H949,Buffers!$AE:$AE,0))),0),$E949&gt;=SpikePct*INDEX(Buffers!$P:$P,MATCH($H949,Buffers!$AE:$AE,0))),"Spike","Not qualified"))))))</f>
        <v/>
      </c>
      <c r="G949" s="8" t="str">
        <f aca="false">IF($A949="","",IF(OR($F949="Past due",$F949="Due today",$F949="Spike"),$C949,0))</f>
        <v/>
      </c>
      <c r="H949" s="8" t="str">
        <f aca="false">IF($A949="","",SUBSTITUTE(SUBSTITUTE(SUBSTITUTE($A949&amp;"","~","~~"),"*","~*"),"?","~?"))</f>
        <v/>
      </c>
    </row>
    <row r="950" customFormat="false" ht="15" hidden="false" customHeight="false" outlineLevel="0" collapsed="false">
      <c r="A950" s="11"/>
      <c r="B950" s="6"/>
      <c r="C950" s="11"/>
      <c r="D950" s="11"/>
      <c r="E950" s="8" t="str">
        <f aca="false">IF($A950="","",SUMIFS($C:$C,$A:$A,$H950,$B:$B,"&gt;="&amp;INT($B950),$B:$B,"&lt;"&amp;(INT($B950)+1)))</f>
        <v/>
      </c>
      <c r="F950" s="19" t="str">
        <f aca="false">IF($A950="","",IF(ISNA(MATCH($H950,Buffers!$AE:$AE,0)),"Not on Buffers",IF(NOT(ISNUMBER($B950)),"Needs a date",IF(INT($B950)&lt;PlanDate,"Past due",IF(INT($B950)=PlanDate,"Due today",IF(AND(INDEX(Buffers!$L:$L,MATCH($H950,Buffers!$AE:$AE,0))="Planned",$E950&gt;0,INT($B950)&lt;=PlanDate+ROUNDUP(IF(ISNUMBER(SpikeHorizon),SpikeHorizon,INDEX(Buffers!$D:$D,MATCH($H950,Buffers!$AE:$AE,0))),0),$E950&gt;=SpikePct*INDEX(Buffers!$P:$P,MATCH($H950,Buffers!$AE:$AE,0))),"Spike","Not qualified"))))))</f>
        <v/>
      </c>
      <c r="G950" s="8" t="str">
        <f aca="false">IF($A950="","",IF(OR($F950="Past due",$F950="Due today",$F950="Spike"),$C950,0))</f>
        <v/>
      </c>
      <c r="H950" s="8" t="str">
        <f aca="false">IF($A950="","",SUBSTITUTE(SUBSTITUTE(SUBSTITUTE($A950&amp;"","~","~~"),"*","~*"),"?","~?"))</f>
        <v/>
      </c>
    </row>
    <row r="951" customFormat="false" ht="15" hidden="false" customHeight="false" outlineLevel="0" collapsed="false">
      <c r="A951" s="11"/>
      <c r="B951" s="6"/>
      <c r="C951" s="11"/>
      <c r="D951" s="11"/>
      <c r="E951" s="8" t="str">
        <f aca="false">IF($A951="","",SUMIFS($C:$C,$A:$A,$H951,$B:$B,"&gt;="&amp;INT($B951),$B:$B,"&lt;"&amp;(INT($B951)+1)))</f>
        <v/>
      </c>
      <c r="F951" s="19" t="str">
        <f aca="false">IF($A951="","",IF(ISNA(MATCH($H951,Buffers!$AE:$AE,0)),"Not on Buffers",IF(NOT(ISNUMBER($B951)),"Needs a date",IF(INT($B951)&lt;PlanDate,"Past due",IF(INT($B951)=PlanDate,"Due today",IF(AND(INDEX(Buffers!$L:$L,MATCH($H951,Buffers!$AE:$AE,0))="Planned",$E951&gt;0,INT($B951)&lt;=PlanDate+ROUNDUP(IF(ISNUMBER(SpikeHorizon),SpikeHorizon,INDEX(Buffers!$D:$D,MATCH($H951,Buffers!$AE:$AE,0))),0),$E951&gt;=SpikePct*INDEX(Buffers!$P:$P,MATCH($H951,Buffers!$AE:$AE,0))),"Spike","Not qualified"))))))</f>
        <v/>
      </c>
      <c r="G951" s="8" t="str">
        <f aca="false">IF($A951="","",IF(OR($F951="Past due",$F951="Due today",$F951="Spike"),$C951,0))</f>
        <v/>
      </c>
      <c r="H951" s="8" t="str">
        <f aca="false">IF($A951="","",SUBSTITUTE(SUBSTITUTE(SUBSTITUTE($A951&amp;"","~","~~"),"*","~*"),"?","~?"))</f>
        <v/>
      </c>
    </row>
    <row r="952" customFormat="false" ht="15" hidden="false" customHeight="false" outlineLevel="0" collapsed="false">
      <c r="A952" s="11"/>
      <c r="B952" s="6"/>
      <c r="C952" s="11"/>
      <c r="D952" s="11"/>
      <c r="E952" s="8" t="str">
        <f aca="false">IF($A952="","",SUMIFS($C:$C,$A:$A,$H952,$B:$B,"&gt;="&amp;INT($B952),$B:$B,"&lt;"&amp;(INT($B952)+1)))</f>
        <v/>
      </c>
      <c r="F952" s="19" t="str">
        <f aca="false">IF($A952="","",IF(ISNA(MATCH($H952,Buffers!$AE:$AE,0)),"Not on Buffers",IF(NOT(ISNUMBER($B952)),"Needs a date",IF(INT($B952)&lt;PlanDate,"Past due",IF(INT($B952)=PlanDate,"Due today",IF(AND(INDEX(Buffers!$L:$L,MATCH($H952,Buffers!$AE:$AE,0))="Planned",$E952&gt;0,INT($B952)&lt;=PlanDate+ROUNDUP(IF(ISNUMBER(SpikeHorizon),SpikeHorizon,INDEX(Buffers!$D:$D,MATCH($H952,Buffers!$AE:$AE,0))),0),$E952&gt;=SpikePct*INDEX(Buffers!$P:$P,MATCH($H952,Buffers!$AE:$AE,0))),"Spike","Not qualified"))))))</f>
        <v/>
      </c>
      <c r="G952" s="8" t="str">
        <f aca="false">IF($A952="","",IF(OR($F952="Past due",$F952="Due today",$F952="Spike"),$C952,0))</f>
        <v/>
      </c>
      <c r="H952" s="8" t="str">
        <f aca="false">IF($A952="","",SUBSTITUTE(SUBSTITUTE(SUBSTITUTE($A952&amp;"","~","~~"),"*","~*"),"?","~?"))</f>
        <v/>
      </c>
    </row>
    <row r="953" customFormat="false" ht="15" hidden="false" customHeight="false" outlineLevel="0" collapsed="false">
      <c r="A953" s="11"/>
      <c r="B953" s="6"/>
      <c r="C953" s="11"/>
      <c r="D953" s="11"/>
      <c r="E953" s="8" t="str">
        <f aca="false">IF($A953="","",SUMIFS($C:$C,$A:$A,$H953,$B:$B,"&gt;="&amp;INT($B953),$B:$B,"&lt;"&amp;(INT($B953)+1)))</f>
        <v/>
      </c>
      <c r="F953" s="19" t="str">
        <f aca="false">IF($A953="","",IF(ISNA(MATCH($H953,Buffers!$AE:$AE,0)),"Not on Buffers",IF(NOT(ISNUMBER($B953)),"Needs a date",IF(INT($B953)&lt;PlanDate,"Past due",IF(INT($B953)=PlanDate,"Due today",IF(AND(INDEX(Buffers!$L:$L,MATCH($H953,Buffers!$AE:$AE,0))="Planned",$E953&gt;0,INT($B953)&lt;=PlanDate+ROUNDUP(IF(ISNUMBER(SpikeHorizon),SpikeHorizon,INDEX(Buffers!$D:$D,MATCH($H953,Buffers!$AE:$AE,0))),0),$E953&gt;=SpikePct*INDEX(Buffers!$P:$P,MATCH($H953,Buffers!$AE:$AE,0))),"Spike","Not qualified"))))))</f>
        <v/>
      </c>
      <c r="G953" s="8" t="str">
        <f aca="false">IF($A953="","",IF(OR($F953="Past due",$F953="Due today",$F953="Spike"),$C953,0))</f>
        <v/>
      </c>
      <c r="H953" s="8" t="str">
        <f aca="false">IF($A953="","",SUBSTITUTE(SUBSTITUTE(SUBSTITUTE($A953&amp;"","~","~~"),"*","~*"),"?","~?"))</f>
        <v/>
      </c>
    </row>
    <row r="954" customFormat="false" ht="15" hidden="false" customHeight="false" outlineLevel="0" collapsed="false">
      <c r="A954" s="11"/>
      <c r="B954" s="6"/>
      <c r="C954" s="11"/>
      <c r="D954" s="11"/>
      <c r="E954" s="8" t="str">
        <f aca="false">IF($A954="","",SUMIFS($C:$C,$A:$A,$H954,$B:$B,"&gt;="&amp;INT($B954),$B:$B,"&lt;"&amp;(INT($B954)+1)))</f>
        <v/>
      </c>
      <c r="F954" s="19" t="str">
        <f aca="false">IF($A954="","",IF(ISNA(MATCH($H954,Buffers!$AE:$AE,0)),"Not on Buffers",IF(NOT(ISNUMBER($B954)),"Needs a date",IF(INT($B954)&lt;PlanDate,"Past due",IF(INT($B954)=PlanDate,"Due today",IF(AND(INDEX(Buffers!$L:$L,MATCH($H954,Buffers!$AE:$AE,0))="Planned",$E954&gt;0,INT($B954)&lt;=PlanDate+ROUNDUP(IF(ISNUMBER(SpikeHorizon),SpikeHorizon,INDEX(Buffers!$D:$D,MATCH($H954,Buffers!$AE:$AE,0))),0),$E954&gt;=SpikePct*INDEX(Buffers!$P:$P,MATCH($H954,Buffers!$AE:$AE,0))),"Spike","Not qualified"))))))</f>
        <v/>
      </c>
      <c r="G954" s="8" t="str">
        <f aca="false">IF($A954="","",IF(OR($F954="Past due",$F954="Due today",$F954="Spike"),$C954,0))</f>
        <v/>
      </c>
      <c r="H954" s="8" t="str">
        <f aca="false">IF($A954="","",SUBSTITUTE(SUBSTITUTE(SUBSTITUTE($A954&amp;"","~","~~"),"*","~*"),"?","~?"))</f>
        <v/>
      </c>
    </row>
    <row r="955" customFormat="false" ht="15" hidden="false" customHeight="false" outlineLevel="0" collapsed="false">
      <c r="A955" s="11"/>
      <c r="B955" s="6"/>
      <c r="C955" s="11"/>
      <c r="D955" s="11"/>
      <c r="E955" s="8" t="str">
        <f aca="false">IF($A955="","",SUMIFS($C:$C,$A:$A,$H955,$B:$B,"&gt;="&amp;INT($B955),$B:$B,"&lt;"&amp;(INT($B955)+1)))</f>
        <v/>
      </c>
      <c r="F955" s="19" t="str">
        <f aca="false">IF($A955="","",IF(ISNA(MATCH($H955,Buffers!$AE:$AE,0)),"Not on Buffers",IF(NOT(ISNUMBER($B955)),"Needs a date",IF(INT($B955)&lt;PlanDate,"Past due",IF(INT($B955)=PlanDate,"Due today",IF(AND(INDEX(Buffers!$L:$L,MATCH($H955,Buffers!$AE:$AE,0))="Planned",$E955&gt;0,INT($B955)&lt;=PlanDate+ROUNDUP(IF(ISNUMBER(SpikeHorizon),SpikeHorizon,INDEX(Buffers!$D:$D,MATCH($H955,Buffers!$AE:$AE,0))),0),$E955&gt;=SpikePct*INDEX(Buffers!$P:$P,MATCH($H955,Buffers!$AE:$AE,0))),"Spike","Not qualified"))))))</f>
        <v/>
      </c>
      <c r="G955" s="8" t="str">
        <f aca="false">IF($A955="","",IF(OR($F955="Past due",$F955="Due today",$F955="Spike"),$C955,0))</f>
        <v/>
      </c>
      <c r="H955" s="8" t="str">
        <f aca="false">IF($A955="","",SUBSTITUTE(SUBSTITUTE(SUBSTITUTE($A955&amp;"","~","~~"),"*","~*"),"?","~?"))</f>
        <v/>
      </c>
    </row>
    <row r="956" customFormat="false" ht="15" hidden="false" customHeight="false" outlineLevel="0" collapsed="false">
      <c r="A956" s="11"/>
      <c r="B956" s="6"/>
      <c r="C956" s="11"/>
      <c r="D956" s="11"/>
      <c r="E956" s="8" t="str">
        <f aca="false">IF($A956="","",SUMIFS($C:$C,$A:$A,$H956,$B:$B,"&gt;="&amp;INT($B956),$B:$B,"&lt;"&amp;(INT($B956)+1)))</f>
        <v/>
      </c>
      <c r="F956" s="19" t="str">
        <f aca="false">IF($A956="","",IF(ISNA(MATCH($H956,Buffers!$AE:$AE,0)),"Not on Buffers",IF(NOT(ISNUMBER($B956)),"Needs a date",IF(INT($B956)&lt;PlanDate,"Past due",IF(INT($B956)=PlanDate,"Due today",IF(AND(INDEX(Buffers!$L:$L,MATCH($H956,Buffers!$AE:$AE,0))="Planned",$E956&gt;0,INT($B956)&lt;=PlanDate+ROUNDUP(IF(ISNUMBER(SpikeHorizon),SpikeHorizon,INDEX(Buffers!$D:$D,MATCH($H956,Buffers!$AE:$AE,0))),0),$E956&gt;=SpikePct*INDEX(Buffers!$P:$P,MATCH($H956,Buffers!$AE:$AE,0))),"Spike","Not qualified"))))))</f>
        <v/>
      </c>
      <c r="G956" s="8" t="str">
        <f aca="false">IF($A956="","",IF(OR($F956="Past due",$F956="Due today",$F956="Spike"),$C956,0))</f>
        <v/>
      </c>
      <c r="H956" s="8" t="str">
        <f aca="false">IF($A956="","",SUBSTITUTE(SUBSTITUTE(SUBSTITUTE($A956&amp;"","~","~~"),"*","~*"),"?","~?"))</f>
        <v/>
      </c>
    </row>
    <row r="957" customFormat="false" ht="15" hidden="false" customHeight="false" outlineLevel="0" collapsed="false">
      <c r="A957" s="11"/>
      <c r="B957" s="6"/>
      <c r="C957" s="11"/>
      <c r="D957" s="11"/>
      <c r="E957" s="8" t="str">
        <f aca="false">IF($A957="","",SUMIFS($C:$C,$A:$A,$H957,$B:$B,"&gt;="&amp;INT($B957),$B:$B,"&lt;"&amp;(INT($B957)+1)))</f>
        <v/>
      </c>
      <c r="F957" s="19" t="str">
        <f aca="false">IF($A957="","",IF(ISNA(MATCH($H957,Buffers!$AE:$AE,0)),"Not on Buffers",IF(NOT(ISNUMBER($B957)),"Needs a date",IF(INT($B957)&lt;PlanDate,"Past due",IF(INT($B957)=PlanDate,"Due today",IF(AND(INDEX(Buffers!$L:$L,MATCH($H957,Buffers!$AE:$AE,0))="Planned",$E957&gt;0,INT($B957)&lt;=PlanDate+ROUNDUP(IF(ISNUMBER(SpikeHorizon),SpikeHorizon,INDEX(Buffers!$D:$D,MATCH($H957,Buffers!$AE:$AE,0))),0),$E957&gt;=SpikePct*INDEX(Buffers!$P:$P,MATCH($H957,Buffers!$AE:$AE,0))),"Spike","Not qualified"))))))</f>
        <v/>
      </c>
      <c r="G957" s="8" t="str">
        <f aca="false">IF($A957="","",IF(OR($F957="Past due",$F957="Due today",$F957="Spike"),$C957,0))</f>
        <v/>
      </c>
      <c r="H957" s="8" t="str">
        <f aca="false">IF($A957="","",SUBSTITUTE(SUBSTITUTE(SUBSTITUTE($A957&amp;"","~","~~"),"*","~*"),"?","~?"))</f>
        <v/>
      </c>
    </row>
    <row r="958" customFormat="false" ht="15" hidden="false" customHeight="false" outlineLevel="0" collapsed="false">
      <c r="A958" s="11"/>
      <c r="B958" s="6"/>
      <c r="C958" s="11"/>
      <c r="D958" s="11"/>
      <c r="E958" s="8" t="str">
        <f aca="false">IF($A958="","",SUMIFS($C:$C,$A:$A,$H958,$B:$B,"&gt;="&amp;INT($B958),$B:$B,"&lt;"&amp;(INT($B958)+1)))</f>
        <v/>
      </c>
      <c r="F958" s="19" t="str">
        <f aca="false">IF($A958="","",IF(ISNA(MATCH($H958,Buffers!$AE:$AE,0)),"Not on Buffers",IF(NOT(ISNUMBER($B958)),"Needs a date",IF(INT($B958)&lt;PlanDate,"Past due",IF(INT($B958)=PlanDate,"Due today",IF(AND(INDEX(Buffers!$L:$L,MATCH($H958,Buffers!$AE:$AE,0))="Planned",$E958&gt;0,INT($B958)&lt;=PlanDate+ROUNDUP(IF(ISNUMBER(SpikeHorizon),SpikeHorizon,INDEX(Buffers!$D:$D,MATCH($H958,Buffers!$AE:$AE,0))),0),$E958&gt;=SpikePct*INDEX(Buffers!$P:$P,MATCH($H958,Buffers!$AE:$AE,0))),"Spike","Not qualified"))))))</f>
        <v/>
      </c>
      <c r="G958" s="8" t="str">
        <f aca="false">IF($A958="","",IF(OR($F958="Past due",$F958="Due today",$F958="Spike"),$C958,0))</f>
        <v/>
      </c>
      <c r="H958" s="8" t="str">
        <f aca="false">IF($A958="","",SUBSTITUTE(SUBSTITUTE(SUBSTITUTE($A958&amp;"","~","~~"),"*","~*"),"?","~?"))</f>
        <v/>
      </c>
    </row>
    <row r="959" customFormat="false" ht="15" hidden="false" customHeight="false" outlineLevel="0" collapsed="false">
      <c r="A959" s="11"/>
      <c r="B959" s="6"/>
      <c r="C959" s="11"/>
      <c r="D959" s="11"/>
      <c r="E959" s="8" t="str">
        <f aca="false">IF($A959="","",SUMIFS($C:$C,$A:$A,$H959,$B:$B,"&gt;="&amp;INT($B959),$B:$B,"&lt;"&amp;(INT($B959)+1)))</f>
        <v/>
      </c>
      <c r="F959" s="19" t="str">
        <f aca="false">IF($A959="","",IF(ISNA(MATCH($H959,Buffers!$AE:$AE,0)),"Not on Buffers",IF(NOT(ISNUMBER($B959)),"Needs a date",IF(INT($B959)&lt;PlanDate,"Past due",IF(INT($B959)=PlanDate,"Due today",IF(AND(INDEX(Buffers!$L:$L,MATCH($H959,Buffers!$AE:$AE,0))="Planned",$E959&gt;0,INT($B959)&lt;=PlanDate+ROUNDUP(IF(ISNUMBER(SpikeHorizon),SpikeHorizon,INDEX(Buffers!$D:$D,MATCH($H959,Buffers!$AE:$AE,0))),0),$E959&gt;=SpikePct*INDEX(Buffers!$P:$P,MATCH($H959,Buffers!$AE:$AE,0))),"Spike","Not qualified"))))))</f>
        <v/>
      </c>
      <c r="G959" s="8" t="str">
        <f aca="false">IF($A959="","",IF(OR($F959="Past due",$F959="Due today",$F959="Spike"),$C959,0))</f>
        <v/>
      </c>
      <c r="H959" s="8" t="str">
        <f aca="false">IF($A959="","",SUBSTITUTE(SUBSTITUTE(SUBSTITUTE($A959&amp;"","~","~~"),"*","~*"),"?","~?"))</f>
        <v/>
      </c>
    </row>
    <row r="960" customFormat="false" ht="15" hidden="false" customHeight="false" outlineLevel="0" collapsed="false">
      <c r="A960" s="11"/>
      <c r="B960" s="6"/>
      <c r="C960" s="11"/>
      <c r="D960" s="11"/>
      <c r="E960" s="8" t="str">
        <f aca="false">IF($A960="","",SUMIFS($C:$C,$A:$A,$H960,$B:$B,"&gt;="&amp;INT($B960),$B:$B,"&lt;"&amp;(INT($B960)+1)))</f>
        <v/>
      </c>
      <c r="F960" s="19" t="str">
        <f aca="false">IF($A960="","",IF(ISNA(MATCH($H960,Buffers!$AE:$AE,0)),"Not on Buffers",IF(NOT(ISNUMBER($B960)),"Needs a date",IF(INT($B960)&lt;PlanDate,"Past due",IF(INT($B960)=PlanDate,"Due today",IF(AND(INDEX(Buffers!$L:$L,MATCH($H960,Buffers!$AE:$AE,0))="Planned",$E960&gt;0,INT($B960)&lt;=PlanDate+ROUNDUP(IF(ISNUMBER(SpikeHorizon),SpikeHorizon,INDEX(Buffers!$D:$D,MATCH($H960,Buffers!$AE:$AE,0))),0),$E960&gt;=SpikePct*INDEX(Buffers!$P:$P,MATCH($H960,Buffers!$AE:$AE,0))),"Spike","Not qualified"))))))</f>
        <v/>
      </c>
      <c r="G960" s="8" t="str">
        <f aca="false">IF($A960="","",IF(OR($F960="Past due",$F960="Due today",$F960="Spike"),$C960,0))</f>
        <v/>
      </c>
      <c r="H960" s="8" t="str">
        <f aca="false">IF($A960="","",SUBSTITUTE(SUBSTITUTE(SUBSTITUTE($A960&amp;"","~","~~"),"*","~*"),"?","~?"))</f>
        <v/>
      </c>
    </row>
    <row r="961" customFormat="false" ht="15" hidden="false" customHeight="false" outlineLevel="0" collapsed="false">
      <c r="A961" s="11"/>
      <c r="B961" s="6"/>
      <c r="C961" s="11"/>
      <c r="D961" s="11"/>
      <c r="E961" s="8" t="str">
        <f aca="false">IF($A961="","",SUMIFS($C:$C,$A:$A,$H961,$B:$B,"&gt;="&amp;INT($B961),$B:$B,"&lt;"&amp;(INT($B961)+1)))</f>
        <v/>
      </c>
      <c r="F961" s="19" t="str">
        <f aca="false">IF($A961="","",IF(ISNA(MATCH($H961,Buffers!$AE:$AE,0)),"Not on Buffers",IF(NOT(ISNUMBER($B961)),"Needs a date",IF(INT($B961)&lt;PlanDate,"Past due",IF(INT($B961)=PlanDate,"Due today",IF(AND(INDEX(Buffers!$L:$L,MATCH($H961,Buffers!$AE:$AE,0))="Planned",$E961&gt;0,INT($B961)&lt;=PlanDate+ROUNDUP(IF(ISNUMBER(SpikeHorizon),SpikeHorizon,INDEX(Buffers!$D:$D,MATCH($H961,Buffers!$AE:$AE,0))),0),$E961&gt;=SpikePct*INDEX(Buffers!$P:$P,MATCH($H961,Buffers!$AE:$AE,0))),"Spike","Not qualified"))))))</f>
        <v/>
      </c>
      <c r="G961" s="8" t="str">
        <f aca="false">IF($A961="","",IF(OR($F961="Past due",$F961="Due today",$F961="Spike"),$C961,0))</f>
        <v/>
      </c>
      <c r="H961" s="8" t="str">
        <f aca="false">IF($A961="","",SUBSTITUTE(SUBSTITUTE(SUBSTITUTE($A961&amp;"","~","~~"),"*","~*"),"?","~?"))</f>
        <v/>
      </c>
    </row>
    <row r="962" customFormat="false" ht="15" hidden="false" customHeight="false" outlineLevel="0" collapsed="false">
      <c r="A962" s="11"/>
      <c r="B962" s="6"/>
      <c r="C962" s="11"/>
      <c r="D962" s="11"/>
      <c r="E962" s="8" t="str">
        <f aca="false">IF($A962="","",SUMIFS($C:$C,$A:$A,$H962,$B:$B,"&gt;="&amp;INT($B962),$B:$B,"&lt;"&amp;(INT($B962)+1)))</f>
        <v/>
      </c>
      <c r="F962" s="19" t="str">
        <f aca="false">IF($A962="","",IF(ISNA(MATCH($H962,Buffers!$AE:$AE,0)),"Not on Buffers",IF(NOT(ISNUMBER($B962)),"Needs a date",IF(INT($B962)&lt;PlanDate,"Past due",IF(INT($B962)=PlanDate,"Due today",IF(AND(INDEX(Buffers!$L:$L,MATCH($H962,Buffers!$AE:$AE,0))="Planned",$E962&gt;0,INT($B962)&lt;=PlanDate+ROUNDUP(IF(ISNUMBER(SpikeHorizon),SpikeHorizon,INDEX(Buffers!$D:$D,MATCH($H962,Buffers!$AE:$AE,0))),0),$E962&gt;=SpikePct*INDEX(Buffers!$P:$P,MATCH($H962,Buffers!$AE:$AE,0))),"Spike","Not qualified"))))))</f>
        <v/>
      </c>
      <c r="G962" s="8" t="str">
        <f aca="false">IF($A962="","",IF(OR($F962="Past due",$F962="Due today",$F962="Spike"),$C962,0))</f>
        <v/>
      </c>
      <c r="H962" s="8" t="str">
        <f aca="false">IF($A962="","",SUBSTITUTE(SUBSTITUTE(SUBSTITUTE($A962&amp;"","~","~~"),"*","~*"),"?","~?"))</f>
        <v/>
      </c>
    </row>
    <row r="963" customFormat="false" ht="15" hidden="false" customHeight="false" outlineLevel="0" collapsed="false">
      <c r="A963" s="11"/>
      <c r="B963" s="6"/>
      <c r="C963" s="11"/>
      <c r="D963" s="11"/>
      <c r="E963" s="8" t="str">
        <f aca="false">IF($A963="","",SUMIFS($C:$C,$A:$A,$H963,$B:$B,"&gt;="&amp;INT($B963),$B:$B,"&lt;"&amp;(INT($B963)+1)))</f>
        <v/>
      </c>
      <c r="F963" s="19" t="str">
        <f aca="false">IF($A963="","",IF(ISNA(MATCH($H963,Buffers!$AE:$AE,0)),"Not on Buffers",IF(NOT(ISNUMBER($B963)),"Needs a date",IF(INT($B963)&lt;PlanDate,"Past due",IF(INT($B963)=PlanDate,"Due today",IF(AND(INDEX(Buffers!$L:$L,MATCH($H963,Buffers!$AE:$AE,0))="Planned",$E963&gt;0,INT($B963)&lt;=PlanDate+ROUNDUP(IF(ISNUMBER(SpikeHorizon),SpikeHorizon,INDEX(Buffers!$D:$D,MATCH($H963,Buffers!$AE:$AE,0))),0),$E963&gt;=SpikePct*INDEX(Buffers!$P:$P,MATCH($H963,Buffers!$AE:$AE,0))),"Spike","Not qualified"))))))</f>
        <v/>
      </c>
      <c r="G963" s="8" t="str">
        <f aca="false">IF($A963="","",IF(OR($F963="Past due",$F963="Due today",$F963="Spike"),$C963,0))</f>
        <v/>
      </c>
      <c r="H963" s="8" t="str">
        <f aca="false">IF($A963="","",SUBSTITUTE(SUBSTITUTE(SUBSTITUTE($A963&amp;"","~","~~"),"*","~*"),"?","~?"))</f>
        <v/>
      </c>
    </row>
    <row r="964" customFormat="false" ht="15" hidden="false" customHeight="false" outlineLevel="0" collapsed="false">
      <c r="A964" s="11"/>
      <c r="B964" s="6"/>
      <c r="C964" s="11"/>
      <c r="D964" s="11"/>
      <c r="E964" s="8" t="str">
        <f aca="false">IF($A964="","",SUMIFS($C:$C,$A:$A,$H964,$B:$B,"&gt;="&amp;INT($B964),$B:$B,"&lt;"&amp;(INT($B964)+1)))</f>
        <v/>
      </c>
      <c r="F964" s="19" t="str">
        <f aca="false">IF($A964="","",IF(ISNA(MATCH($H964,Buffers!$AE:$AE,0)),"Not on Buffers",IF(NOT(ISNUMBER($B964)),"Needs a date",IF(INT($B964)&lt;PlanDate,"Past due",IF(INT($B964)=PlanDate,"Due today",IF(AND(INDEX(Buffers!$L:$L,MATCH($H964,Buffers!$AE:$AE,0))="Planned",$E964&gt;0,INT($B964)&lt;=PlanDate+ROUNDUP(IF(ISNUMBER(SpikeHorizon),SpikeHorizon,INDEX(Buffers!$D:$D,MATCH($H964,Buffers!$AE:$AE,0))),0),$E964&gt;=SpikePct*INDEX(Buffers!$P:$P,MATCH($H964,Buffers!$AE:$AE,0))),"Spike","Not qualified"))))))</f>
        <v/>
      </c>
      <c r="G964" s="8" t="str">
        <f aca="false">IF($A964="","",IF(OR($F964="Past due",$F964="Due today",$F964="Spike"),$C964,0))</f>
        <v/>
      </c>
      <c r="H964" s="8" t="str">
        <f aca="false">IF($A964="","",SUBSTITUTE(SUBSTITUTE(SUBSTITUTE($A964&amp;"","~","~~"),"*","~*"),"?","~?"))</f>
        <v/>
      </c>
    </row>
    <row r="965" customFormat="false" ht="15" hidden="false" customHeight="false" outlineLevel="0" collapsed="false">
      <c r="A965" s="11"/>
      <c r="B965" s="6"/>
      <c r="C965" s="11"/>
      <c r="D965" s="11"/>
      <c r="E965" s="8" t="str">
        <f aca="false">IF($A965="","",SUMIFS($C:$C,$A:$A,$H965,$B:$B,"&gt;="&amp;INT($B965),$B:$B,"&lt;"&amp;(INT($B965)+1)))</f>
        <v/>
      </c>
      <c r="F965" s="19" t="str">
        <f aca="false">IF($A965="","",IF(ISNA(MATCH($H965,Buffers!$AE:$AE,0)),"Not on Buffers",IF(NOT(ISNUMBER($B965)),"Needs a date",IF(INT($B965)&lt;PlanDate,"Past due",IF(INT($B965)=PlanDate,"Due today",IF(AND(INDEX(Buffers!$L:$L,MATCH($H965,Buffers!$AE:$AE,0))="Planned",$E965&gt;0,INT($B965)&lt;=PlanDate+ROUNDUP(IF(ISNUMBER(SpikeHorizon),SpikeHorizon,INDEX(Buffers!$D:$D,MATCH($H965,Buffers!$AE:$AE,0))),0),$E965&gt;=SpikePct*INDEX(Buffers!$P:$P,MATCH($H965,Buffers!$AE:$AE,0))),"Spike","Not qualified"))))))</f>
        <v/>
      </c>
      <c r="G965" s="8" t="str">
        <f aca="false">IF($A965="","",IF(OR($F965="Past due",$F965="Due today",$F965="Spike"),$C965,0))</f>
        <v/>
      </c>
      <c r="H965" s="8" t="str">
        <f aca="false">IF($A965="","",SUBSTITUTE(SUBSTITUTE(SUBSTITUTE($A965&amp;"","~","~~"),"*","~*"),"?","~?"))</f>
        <v/>
      </c>
    </row>
    <row r="966" customFormat="false" ht="15" hidden="false" customHeight="false" outlineLevel="0" collapsed="false">
      <c r="A966" s="11"/>
      <c r="B966" s="6"/>
      <c r="C966" s="11"/>
      <c r="D966" s="11"/>
      <c r="E966" s="8" t="str">
        <f aca="false">IF($A966="","",SUMIFS($C:$C,$A:$A,$H966,$B:$B,"&gt;="&amp;INT($B966),$B:$B,"&lt;"&amp;(INT($B966)+1)))</f>
        <v/>
      </c>
      <c r="F966" s="19" t="str">
        <f aca="false">IF($A966="","",IF(ISNA(MATCH($H966,Buffers!$AE:$AE,0)),"Not on Buffers",IF(NOT(ISNUMBER($B966)),"Needs a date",IF(INT($B966)&lt;PlanDate,"Past due",IF(INT($B966)=PlanDate,"Due today",IF(AND(INDEX(Buffers!$L:$L,MATCH($H966,Buffers!$AE:$AE,0))="Planned",$E966&gt;0,INT($B966)&lt;=PlanDate+ROUNDUP(IF(ISNUMBER(SpikeHorizon),SpikeHorizon,INDEX(Buffers!$D:$D,MATCH($H966,Buffers!$AE:$AE,0))),0),$E966&gt;=SpikePct*INDEX(Buffers!$P:$P,MATCH($H966,Buffers!$AE:$AE,0))),"Spike","Not qualified"))))))</f>
        <v/>
      </c>
      <c r="G966" s="8" t="str">
        <f aca="false">IF($A966="","",IF(OR($F966="Past due",$F966="Due today",$F966="Spike"),$C966,0))</f>
        <v/>
      </c>
      <c r="H966" s="8" t="str">
        <f aca="false">IF($A966="","",SUBSTITUTE(SUBSTITUTE(SUBSTITUTE($A966&amp;"","~","~~"),"*","~*"),"?","~?"))</f>
        <v/>
      </c>
    </row>
    <row r="967" customFormat="false" ht="15" hidden="false" customHeight="false" outlineLevel="0" collapsed="false">
      <c r="A967" s="11"/>
      <c r="B967" s="6"/>
      <c r="C967" s="11"/>
      <c r="D967" s="11"/>
      <c r="E967" s="8" t="str">
        <f aca="false">IF($A967="","",SUMIFS($C:$C,$A:$A,$H967,$B:$B,"&gt;="&amp;INT($B967),$B:$B,"&lt;"&amp;(INT($B967)+1)))</f>
        <v/>
      </c>
      <c r="F967" s="19" t="str">
        <f aca="false">IF($A967="","",IF(ISNA(MATCH($H967,Buffers!$AE:$AE,0)),"Not on Buffers",IF(NOT(ISNUMBER($B967)),"Needs a date",IF(INT($B967)&lt;PlanDate,"Past due",IF(INT($B967)=PlanDate,"Due today",IF(AND(INDEX(Buffers!$L:$L,MATCH($H967,Buffers!$AE:$AE,0))="Planned",$E967&gt;0,INT($B967)&lt;=PlanDate+ROUNDUP(IF(ISNUMBER(SpikeHorizon),SpikeHorizon,INDEX(Buffers!$D:$D,MATCH($H967,Buffers!$AE:$AE,0))),0),$E967&gt;=SpikePct*INDEX(Buffers!$P:$P,MATCH($H967,Buffers!$AE:$AE,0))),"Spike","Not qualified"))))))</f>
        <v/>
      </c>
      <c r="G967" s="8" t="str">
        <f aca="false">IF($A967="","",IF(OR($F967="Past due",$F967="Due today",$F967="Spike"),$C967,0))</f>
        <v/>
      </c>
      <c r="H967" s="8" t="str">
        <f aca="false">IF($A967="","",SUBSTITUTE(SUBSTITUTE(SUBSTITUTE($A967&amp;"","~","~~"),"*","~*"),"?","~?"))</f>
        <v/>
      </c>
    </row>
    <row r="968" customFormat="false" ht="15" hidden="false" customHeight="false" outlineLevel="0" collapsed="false">
      <c r="A968" s="11"/>
      <c r="B968" s="6"/>
      <c r="C968" s="11"/>
      <c r="D968" s="11"/>
      <c r="E968" s="8" t="str">
        <f aca="false">IF($A968="","",SUMIFS($C:$C,$A:$A,$H968,$B:$B,"&gt;="&amp;INT($B968),$B:$B,"&lt;"&amp;(INT($B968)+1)))</f>
        <v/>
      </c>
      <c r="F968" s="19" t="str">
        <f aca="false">IF($A968="","",IF(ISNA(MATCH($H968,Buffers!$AE:$AE,0)),"Not on Buffers",IF(NOT(ISNUMBER($B968)),"Needs a date",IF(INT($B968)&lt;PlanDate,"Past due",IF(INT($B968)=PlanDate,"Due today",IF(AND(INDEX(Buffers!$L:$L,MATCH($H968,Buffers!$AE:$AE,0))="Planned",$E968&gt;0,INT($B968)&lt;=PlanDate+ROUNDUP(IF(ISNUMBER(SpikeHorizon),SpikeHorizon,INDEX(Buffers!$D:$D,MATCH($H968,Buffers!$AE:$AE,0))),0),$E968&gt;=SpikePct*INDEX(Buffers!$P:$P,MATCH($H968,Buffers!$AE:$AE,0))),"Spike","Not qualified"))))))</f>
        <v/>
      </c>
      <c r="G968" s="8" t="str">
        <f aca="false">IF($A968="","",IF(OR($F968="Past due",$F968="Due today",$F968="Spike"),$C968,0))</f>
        <v/>
      </c>
      <c r="H968" s="8" t="str">
        <f aca="false">IF($A968="","",SUBSTITUTE(SUBSTITUTE(SUBSTITUTE($A968&amp;"","~","~~"),"*","~*"),"?","~?"))</f>
        <v/>
      </c>
    </row>
    <row r="969" customFormat="false" ht="15" hidden="false" customHeight="false" outlineLevel="0" collapsed="false">
      <c r="A969" s="11"/>
      <c r="B969" s="6"/>
      <c r="C969" s="11"/>
      <c r="D969" s="11"/>
      <c r="E969" s="8" t="str">
        <f aca="false">IF($A969="","",SUMIFS($C:$C,$A:$A,$H969,$B:$B,"&gt;="&amp;INT($B969),$B:$B,"&lt;"&amp;(INT($B969)+1)))</f>
        <v/>
      </c>
      <c r="F969" s="19" t="str">
        <f aca="false">IF($A969="","",IF(ISNA(MATCH($H969,Buffers!$AE:$AE,0)),"Not on Buffers",IF(NOT(ISNUMBER($B969)),"Needs a date",IF(INT($B969)&lt;PlanDate,"Past due",IF(INT($B969)=PlanDate,"Due today",IF(AND(INDEX(Buffers!$L:$L,MATCH($H969,Buffers!$AE:$AE,0))="Planned",$E969&gt;0,INT($B969)&lt;=PlanDate+ROUNDUP(IF(ISNUMBER(SpikeHorizon),SpikeHorizon,INDEX(Buffers!$D:$D,MATCH($H969,Buffers!$AE:$AE,0))),0),$E969&gt;=SpikePct*INDEX(Buffers!$P:$P,MATCH($H969,Buffers!$AE:$AE,0))),"Spike","Not qualified"))))))</f>
        <v/>
      </c>
      <c r="G969" s="8" t="str">
        <f aca="false">IF($A969="","",IF(OR($F969="Past due",$F969="Due today",$F969="Spike"),$C969,0))</f>
        <v/>
      </c>
      <c r="H969" s="8" t="str">
        <f aca="false">IF($A969="","",SUBSTITUTE(SUBSTITUTE(SUBSTITUTE($A969&amp;"","~","~~"),"*","~*"),"?","~?"))</f>
        <v/>
      </c>
    </row>
    <row r="970" customFormat="false" ht="15" hidden="false" customHeight="false" outlineLevel="0" collapsed="false">
      <c r="A970" s="11"/>
      <c r="B970" s="6"/>
      <c r="C970" s="11"/>
      <c r="D970" s="11"/>
      <c r="E970" s="8" t="str">
        <f aca="false">IF($A970="","",SUMIFS($C:$C,$A:$A,$H970,$B:$B,"&gt;="&amp;INT($B970),$B:$B,"&lt;"&amp;(INT($B970)+1)))</f>
        <v/>
      </c>
      <c r="F970" s="19" t="str">
        <f aca="false">IF($A970="","",IF(ISNA(MATCH($H970,Buffers!$AE:$AE,0)),"Not on Buffers",IF(NOT(ISNUMBER($B970)),"Needs a date",IF(INT($B970)&lt;PlanDate,"Past due",IF(INT($B970)=PlanDate,"Due today",IF(AND(INDEX(Buffers!$L:$L,MATCH($H970,Buffers!$AE:$AE,0))="Planned",$E970&gt;0,INT($B970)&lt;=PlanDate+ROUNDUP(IF(ISNUMBER(SpikeHorizon),SpikeHorizon,INDEX(Buffers!$D:$D,MATCH($H970,Buffers!$AE:$AE,0))),0),$E970&gt;=SpikePct*INDEX(Buffers!$P:$P,MATCH($H970,Buffers!$AE:$AE,0))),"Spike","Not qualified"))))))</f>
        <v/>
      </c>
      <c r="G970" s="8" t="str">
        <f aca="false">IF($A970="","",IF(OR($F970="Past due",$F970="Due today",$F970="Spike"),$C970,0))</f>
        <v/>
      </c>
      <c r="H970" s="8" t="str">
        <f aca="false">IF($A970="","",SUBSTITUTE(SUBSTITUTE(SUBSTITUTE($A970&amp;"","~","~~"),"*","~*"),"?","~?"))</f>
        <v/>
      </c>
    </row>
    <row r="971" customFormat="false" ht="15" hidden="false" customHeight="false" outlineLevel="0" collapsed="false">
      <c r="A971" s="11"/>
      <c r="B971" s="6"/>
      <c r="C971" s="11"/>
      <c r="D971" s="11"/>
      <c r="E971" s="8" t="str">
        <f aca="false">IF($A971="","",SUMIFS($C:$C,$A:$A,$H971,$B:$B,"&gt;="&amp;INT($B971),$B:$B,"&lt;"&amp;(INT($B971)+1)))</f>
        <v/>
      </c>
      <c r="F971" s="19" t="str">
        <f aca="false">IF($A971="","",IF(ISNA(MATCH($H971,Buffers!$AE:$AE,0)),"Not on Buffers",IF(NOT(ISNUMBER($B971)),"Needs a date",IF(INT($B971)&lt;PlanDate,"Past due",IF(INT($B971)=PlanDate,"Due today",IF(AND(INDEX(Buffers!$L:$L,MATCH($H971,Buffers!$AE:$AE,0))="Planned",$E971&gt;0,INT($B971)&lt;=PlanDate+ROUNDUP(IF(ISNUMBER(SpikeHorizon),SpikeHorizon,INDEX(Buffers!$D:$D,MATCH($H971,Buffers!$AE:$AE,0))),0),$E971&gt;=SpikePct*INDEX(Buffers!$P:$P,MATCH($H971,Buffers!$AE:$AE,0))),"Spike","Not qualified"))))))</f>
        <v/>
      </c>
      <c r="G971" s="8" t="str">
        <f aca="false">IF($A971="","",IF(OR($F971="Past due",$F971="Due today",$F971="Spike"),$C971,0))</f>
        <v/>
      </c>
      <c r="H971" s="8" t="str">
        <f aca="false">IF($A971="","",SUBSTITUTE(SUBSTITUTE(SUBSTITUTE($A971&amp;"","~","~~"),"*","~*"),"?","~?"))</f>
        <v/>
      </c>
    </row>
    <row r="972" customFormat="false" ht="15" hidden="false" customHeight="false" outlineLevel="0" collapsed="false">
      <c r="A972" s="11"/>
      <c r="B972" s="6"/>
      <c r="C972" s="11"/>
      <c r="D972" s="11"/>
      <c r="E972" s="8" t="str">
        <f aca="false">IF($A972="","",SUMIFS($C:$C,$A:$A,$H972,$B:$B,"&gt;="&amp;INT($B972),$B:$B,"&lt;"&amp;(INT($B972)+1)))</f>
        <v/>
      </c>
      <c r="F972" s="19" t="str">
        <f aca="false">IF($A972="","",IF(ISNA(MATCH($H972,Buffers!$AE:$AE,0)),"Not on Buffers",IF(NOT(ISNUMBER($B972)),"Needs a date",IF(INT($B972)&lt;PlanDate,"Past due",IF(INT($B972)=PlanDate,"Due today",IF(AND(INDEX(Buffers!$L:$L,MATCH($H972,Buffers!$AE:$AE,0))="Planned",$E972&gt;0,INT($B972)&lt;=PlanDate+ROUNDUP(IF(ISNUMBER(SpikeHorizon),SpikeHorizon,INDEX(Buffers!$D:$D,MATCH($H972,Buffers!$AE:$AE,0))),0),$E972&gt;=SpikePct*INDEX(Buffers!$P:$P,MATCH($H972,Buffers!$AE:$AE,0))),"Spike","Not qualified"))))))</f>
        <v/>
      </c>
      <c r="G972" s="8" t="str">
        <f aca="false">IF($A972="","",IF(OR($F972="Past due",$F972="Due today",$F972="Spike"),$C972,0))</f>
        <v/>
      </c>
      <c r="H972" s="8" t="str">
        <f aca="false">IF($A972="","",SUBSTITUTE(SUBSTITUTE(SUBSTITUTE($A972&amp;"","~","~~"),"*","~*"),"?","~?"))</f>
        <v/>
      </c>
    </row>
    <row r="973" customFormat="false" ht="15" hidden="false" customHeight="false" outlineLevel="0" collapsed="false">
      <c r="A973" s="11"/>
      <c r="B973" s="6"/>
      <c r="C973" s="11"/>
      <c r="D973" s="11"/>
      <c r="E973" s="8" t="str">
        <f aca="false">IF($A973="","",SUMIFS($C:$C,$A:$A,$H973,$B:$B,"&gt;="&amp;INT($B973),$B:$B,"&lt;"&amp;(INT($B973)+1)))</f>
        <v/>
      </c>
      <c r="F973" s="19" t="str">
        <f aca="false">IF($A973="","",IF(ISNA(MATCH($H973,Buffers!$AE:$AE,0)),"Not on Buffers",IF(NOT(ISNUMBER($B973)),"Needs a date",IF(INT($B973)&lt;PlanDate,"Past due",IF(INT($B973)=PlanDate,"Due today",IF(AND(INDEX(Buffers!$L:$L,MATCH($H973,Buffers!$AE:$AE,0))="Planned",$E973&gt;0,INT($B973)&lt;=PlanDate+ROUNDUP(IF(ISNUMBER(SpikeHorizon),SpikeHorizon,INDEX(Buffers!$D:$D,MATCH($H973,Buffers!$AE:$AE,0))),0),$E973&gt;=SpikePct*INDEX(Buffers!$P:$P,MATCH($H973,Buffers!$AE:$AE,0))),"Spike","Not qualified"))))))</f>
        <v/>
      </c>
      <c r="G973" s="8" t="str">
        <f aca="false">IF($A973="","",IF(OR($F973="Past due",$F973="Due today",$F973="Spike"),$C973,0))</f>
        <v/>
      </c>
      <c r="H973" s="8" t="str">
        <f aca="false">IF($A973="","",SUBSTITUTE(SUBSTITUTE(SUBSTITUTE($A973&amp;"","~","~~"),"*","~*"),"?","~?"))</f>
        <v/>
      </c>
    </row>
    <row r="974" customFormat="false" ht="15" hidden="false" customHeight="false" outlineLevel="0" collapsed="false">
      <c r="A974" s="11"/>
      <c r="B974" s="6"/>
      <c r="C974" s="11"/>
      <c r="D974" s="11"/>
      <c r="E974" s="8" t="str">
        <f aca="false">IF($A974="","",SUMIFS($C:$C,$A:$A,$H974,$B:$B,"&gt;="&amp;INT($B974),$B:$B,"&lt;"&amp;(INT($B974)+1)))</f>
        <v/>
      </c>
      <c r="F974" s="19" t="str">
        <f aca="false">IF($A974="","",IF(ISNA(MATCH($H974,Buffers!$AE:$AE,0)),"Not on Buffers",IF(NOT(ISNUMBER($B974)),"Needs a date",IF(INT($B974)&lt;PlanDate,"Past due",IF(INT($B974)=PlanDate,"Due today",IF(AND(INDEX(Buffers!$L:$L,MATCH($H974,Buffers!$AE:$AE,0))="Planned",$E974&gt;0,INT($B974)&lt;=PlanDate+ROUNDUP(IF(ISNUMBER(SpikeHorizon),SpikeHorizon,INDEX(Buffers!$D:$D,MATCH($H974,Buffers!$AE:$AE,0))),0),$E974&gt;=SpikePct*INDEX(Buffers!$P:$P,MATCH($H974,Buffers!$AE:$AE,0))),"Spike","Not qualified"))))))</f>
        <v/>
      </c>
      <c r="G974" s="8" t="str">
        <f aca="false">IF($A974="","",IF(OR($F974="Past due",$F974="Due today",$F974="Spike"),$C974,0))</f>
        <v/>
      </c>
      <c r="H974" s="8" t="str">
        <f aca="false">IF($A974="","",SUBSTITUTE(SUBSTITUTE(SUBSTITUTE($A974&amp;"","~","~~"),"*","~*"),"?","~?"))</f>
        <v/>
      </c>
    </row>
    <row r="975" customFormat="false" ht="15" hidden="false" customHeight="false" outlineLevel="0" collapsed="false">
      <c r="A975" s="11"/>
      <c r="B975" s="6"/>
      <c r="C975" s="11"/>
      <c r="D975" s="11"/>
      <c r="E975" s="8" t="str">
        <f aca="false">IF($A975="","",SUMIFS($C:$C,$A:$A,$H975,$B:$B,"&gt;="&amp;INT($B975),$B:$B,"&lt;"&amp;(INT($B975)+1)))</f>
        <v/>
      </c>
      <c r="F975" s="19" t="str">
        <f aca="false">IF($A975="","",IF(ISNA(MATCH($H975,Buffers!$AE:$AE,0)),"Not on Buffers",IF(NOT(ISNUMBER($B975)),"Needs a date",IF(INT($B975)&lt;PlanDate,"Past due",IF(INT($B975)=PlanDate,"Due today",IF(AND(INDEX(Buffers!$L:$L,MATCH($H975,Buffers!$AE:$AE,0))="Planned",$E975&gt;0,INT($B975)&lt;=PlanDate+ROUNDUP(IF(ISNUMBER(SpikeHorizon),SpikeHorizon,INDEX(Buffers!$D:$D,MATCH($H975,Buffers!$AE:$AE,0))),0),$E975&gt;=SpikePct*INDEX(Buffers!$P:$P,MATCH($H975,Buffers!$AE:$AE,0))),"Spike","Not qualified"))))))</f>
        <v/>
      </c>
      <c r="G975" s="8" t="str">
        <f aca="false">IF($A975="","",IF(OR($F975="Past due",$F975="Due today",$F975="Spike"),$C975,0))</f>
        <v/>
      </c>
      <c r="H975" s="8" t="str">
        <f aca="false">IF($A975="","",SUBSTITUTE(SUBSTITUTE(SUBSTITUTE($A975&amp;"","~","~~"),"*","~*"),"?","~?"))</f>
        <v/>
      </c>
    </row>
    <row r="976" customFormat="false" ht="15" hidden="false" customHeight="false" outlineLevel="0" collapsed="false">
      <c r="A976" s="11"/>
      <c r="B976" s="6"/>
      <c r="C976" s="11"/>
      <c r="D976" s="11"/>
      <c r="E976" s="8" t="str">
        <f aca="false">IF($A976="","",SUMIFS($C:$C,$A:$A,$H976,$B:$B,"&gt;="&amp;INT($B976),$B:$B,"&lt;"&amp;(INT($B976)+1)))</f>
        <v/>
      </c>
      <c r="F976" s="19" t="str">
        <f aca="false">IF($A976="","",IF(ISNA(MATCH($H976,Buffers!$AE:$AE,0)),"Not on Buffers",IF(NOT(ISNUMBER($B976)),"Needs a date",IF(INT($B976)&lt;PlanDate,"Past due",IF(INT($B976)=PlanDate,"Due today",IF(AND(INDEX(Buffers!$L:$L,MATCH($H976,Buffers!$AE:$AE,0))="Planned",$E976&gt;0,INT($B976)&lt;=PlanDate+ROUNDUP(IF(ISNUMBER(SpikeHorizon),SpikeHorizon,INDEX(Buffers!$D:$D,MATCH($H976,Buffers!$AE:$AE,0))),0),$E976&gt;=SpikePct*INDEX(Buffers!$P:$P,MATCH($H976,Buffers!$AE:$AE,0))),"Spike","Not qualified"))))))</f>
        <v/>
      </c>
      <c r="G976" s="8" t="str">
        <f aca="false">IF($A976="","",IF(OR($F976="Past due",$F976="Due today",$F976="Spike"),$C976,0))</f>
        <v/>
      </c>
      <c r="H976" s="8" t="str">
        <f aca="false">IF($A976="","",SUBSTITUTE(SUBSTITUTE(SUBSTITUTE($A976&amp;"","~","~~"),"*","~*"),"?","~?"))</f>
        <v/>
      </c>
    </row>
    <row r="977" customFormat="false" ht="15" hidden="false" customHeight="false" outlineLevel="0" collapsed="false">
      <c r="A977" s="11"/>
      <c r="B977" s="6"/>
      <c r="C977" s="11"/>
      <c r="D977" s="11"/>
      <c r="E977" s="8" t="str">
        <f aca="false">IF($A977="","",SUMIFS($C:$C,$A:$A,$H977,$B:$B,"&gt;="&amp;INT($B977),$B:$B,"&lt;"&amp;(INT($B977)+1)))</f>
        <v/>
      </c>
      <c r="F977" s="19" t="str">
        <f aca="false">IF($A977="","",IF(ISNA(MATCH($H977,Buffers!$AE:$AE,0)),"Not on Buffers",IF(NOT(ISNUMBER($B977)),"Needs a date",IF(INT($B977)&lt;PlanDate,"Past due",IF(INT($B977)=PlanDate,"Due today",IF(AND(INDEX(Buffers!$L:$L,MATCH($H977,Buffers!$AE:$AE,0))="Planned",$E977&gt;0,INT($B977)&lt;=PlanDate+ROUNDUP(IF(ISNUMBER(SpikeHorizon),SpikeHorizon,INDEX(Buffers!$D:$D,MATCH($H977,Buffers!$AE:$AE,0))),0),$E977&gt;=SpikePct*INDEX(Buffers!$P:$P,MATCH($H977,Buffers!$AE:$AE,0))),"Spike","Not qualified"))))))</f>
        <v/>
      </c>
      <c r="G977" s="8" t="str">
        <f aca="false">IF($A977="","",IF(OR($F977="Past due",$F977="Due today",$F977="Spike"),$C977,0))</f>
        <v/>
      </c>
      <c r="H977" s="8" t="str">
        <f aca="false">IF($A977="","",SUBSTITUTE(SUBSTITUTE(SUBSTITUTE($A977&amp;"","~","~~"),"*","~*"),"?","~?"))</f>
        <v/>
      </c>
    </row>
    <row r="978" customFormat="false" ht="15" hidden="false" customHeight="false" outlineLevel="0" collapsed="false">
      <c r="A978" s="11"/>
      <c r="B978" s="6"/>
      <c r="C978" s="11"/>
      <c r="D978" s="11"/>
      <c r="E978" s="8" t="str">
        <f aca="false">IF($A978="","",SUMIFS($C:$C,$A:$A,$H978,$B:$B,"&gt;="&amp;INT($B978),$B:$B,"&lt;"&amp;(INT($B978)+1)))</f>
        <v/>
      </c>
      <c r="F978" s="19" t="str">
        <f aca="false">IF($A978="","",IF(ISNA(MATCH($H978,Buffers!$AE:$AE,0)),"Not on Buffers",IF(NOT(ISNUMBER($B978)),"Needs a date",IF(INT($B978)&lt;PlanDate,"Past due",IF(INT($B978)=PlanDate,"Due today",IF(AND(INDEX(Buffers!$L:$L,MATCH($H978,Buffers!$AE:$AE,0))="Planned",$E978&gt;0,INT($B978)&lt;=PlanDate+ROUNDUP(IF(ISNUMBER(SpikeHorizon),SpikeHorizon,INDEX(Buffers!$D:$D,MATCH($H978,Buffers!$AE:$AE,0))),0),$E978&gt;=SpikePct*INDEX(Buffers!$P:$P,MATCH($H978,Buffers!$AE:$AE,0))),"Spike","Not qualified"))))))</f>
        <v/>
      </c>
      <c r="G978" s="8" t="str">
        <f aca="false">IF($A978="","",IF(OR($F978="Past due",$F978="Due today",$F978="Spike"),$C978,0))</f>
        <v/>
      </c>
      <c r="H978" s="8" t="str">
        <f aca="false">IF($A978="","",SUBSTITUTE(SUBSTITUTE(SUBSTITUTE($A978&amp;"","~","~~"),"*","~*"),"?","~?"))</f>
        <v/>
      </c>
    </row>
    <row r="979" customFormat="false" ht="15" hidden="false" customHeight="false" outlineLevel="0" collapsed="false">
      <c r="A979" s="11"/>
      <c r="B979" s="6"/>
      <c r="C979" s="11"/>
      <c r="D979" s="11"/>
      <c r="E979" s="8" t="str">
        <f aca="false">IF($A979="","",SUMIFS($C:$C,$A:$A,$H979,$B:$B,"&gt;="&amp;INT($B979),$B:$B,"&lt;"&amp;(INT($B979)+1)))</f>
        <v/>
      </c>
      <c r="F979" s="19" t="str">
        <f aca="false">IF($A979="","",IF(ISNA(MATCH($H979,Buffers!$AE:$AE,0)),"Not on Buffers",IF(NOT(ISNUMBER($B979)),"Needs a date",IF(INT($B979)&lt;PlanDate,"Past due",IF(INT($B979)=PlanDate,"Due today",IF(AND(INDEX(Buffers!$L:$L,MATCH($H979,Buffers!$AE:$AE,0))="Planned",$E979&gt;0,INT($B979)&lt;=PlanDate+ROUNDUP(IF(ISNUMBER(SpikeHorizon),SpikeHorizon,INDEX(Buffers!$D:$D,MATCH($H979,Buffers!$AE:$AE,0))),0),$E979&gt;=SpikePct*INDEX(Buffers!$P:$P,MATCH($H979,Buffers!$AE:$AE,0))),"Spike","Not qualified"))))))</f>
        <v/>
      </c>
      <c r="G979" s="8" t="str">
        <f aca="false">IF($A979="","",IF(OR($F979="Past due",$F979="Due today",$F979="Spike"),$C979,0))</f>
        <v/>
      </c>
      <c r="H979" s="8" t="str">
        <f aca="false">IF($A979="","",SUBSTITUTE(SUBSTITUTE(SUBSTITUTE($A979&amp;"","~","~~"),"*","~*"),"?","~?"))</f>
        <v/>
      </c>
    </row>
    <row r="980" customFormat="false" ht="15" hidden="false" customHeight="false" outlineLevel="0" collapsed="false">
      <c r="A980" s="11"/>
      <c r="B980" s="6"/>
      <c r="C980" s="11"/>
      <c r="D980" s="11"/>
      <c r="E980" s="8" t="str">
        <f aca="false">IF($A980="","",SUMIFS($C:$C,$A:$A,$H980,$B:$B,"&gt;="&amp;INT($B980),$B:$B,"&lt;"&amp;(INT($B980)+1)))</f>
        <v/>
      </c>
      <c r="F980" s="19" t="str">
        <f aca="false">IF($A980="","",IF(ISNA(MATCH($H980,Buffers!$AE:$AE,0)),"Not on Buffers",IF(NOT(ISNUMBER($B980)),"Needs a date",IF(INT($B980)&lt;PlanDate,"Past due",IF(INT($B980)=PlanDate,"Due today",IF(AND(INDEX(Buffers!$L:$L,MATCH($H980,Buffers!$AE:$AE,0))="Planned",$E980&gt;0,INT($B980)&lt;=PlanDate+ROUNDUP(IF(ISNUMBER(SpikeHorizon),SpikeHorizon,INDEX(Buffers!$D:$D,MATCH($H980,Buffers!$AE:$AE,0))),0),$E980&gt;=SpikePct*INDEX(Buffers!$P:$P,MATCH($H980,Buffers!$AE:$AE,0))),"Spike","Not qualified"))))))</f>
        <v/>
      </c>
      <c r="G980" s="8" t="str">
        <f aca="false">IF($A980="","",IF(OR($F980="Past due",$F980="Due today",$F980="Spike"),$C980,0))</f>
        <v/>
      </c>
      <c r="H980" s="8" t="str">
        <f aca="false">IF($A980="","",SUBSTITUTE(SUBSTITUTE(SUBSTITUTE($A980&amp;"","~","~~"),"*","~*"),"?","~?"))</f>
        <v/>
      </c>
    </row>
    <row r="981" customFormat="false" ht="15" hidden="false" customHeight="false" outlineLevel="0" collapsed="false">
      <c r="A981" s="11"/>
      <c r="B981" s="6"/>
      <c r="C981" s="11"/>
      <c r="D981" s="11"/>
      <c r="E981" s="8" t="str">
        <f aca="false">IF($A981="","",SUMIFS($C:$C,$A:$A,$H981,$B:$B,"&gt;="&amp;INT($B981),$B:$B,"&lt;"&amp;(INT($B981)+1)))</f>
        <v/>
      </c>
      <c r="F981" s="19" t="str">
        <f aca="false">IF($A981="","",IF(ISNA(MATCH($H981,Buffers!$AE:$AE,0)),"Not on Buffers",IF(NOT(ISNUMBER($B981)),"Needs a date",IF(INT($B981)&lt;PlanDate,"Past due",IF(INT($B981)=PlanDate,"Due today",IF(AND(INDEX(Buffers!$L:$L,MATCH($H981,Buffers!$AE:$AE,0))="Planned",$E981&gt;0,INT($B981)&lt;=PlanDate+ROUNDUP(IF(ISNUMBER(SpikeHorizon),SpikeHorizon,INDEX(Buffers!$D:$D,MATCH($H981,Buffers!$AE:$AE,0))),0),$E981&gt;=SpikePct*INDEX(Buffers!$P:$P,MATCH($H981,Buffers!$AE:$AE,0))),"Spike","Not qualified"))))))</f>
        <v/>
      </c>
      <c r="G981" s="8" t="str">
        <f aca="false">IF($A981="","",IF(OR($F981="Past due",$F981="Due today",$F981="Spike"),$C981,0))</f>
        <v/>
      </c>
      <c r="H981" s="8" t="str">
        <f aca="false">IF($A981="","",SUBSTITUTE(SUBSTITUTE(SUBSTITUTE($A981&amp;"","~","~~"),"*","~*"),"?","~?"))</f>
        <v/>
      </c>
    </row>
    <row r="982" customFormat="false" ht="15" hidden="false" customHeight="false" outlineLevel="0" collapsed="false">
      <c r="A982" s="11"/>
      <c r="B982" s="6"/>
      <c r="C982" s="11"/>
      <c r="D982" s="11"/>
      <c r="E982" s="8" t="str">
        <f aca="false">IF($A982="","",SUMIFS($C:$C,$A:$A,$H982,$B:$B,"&gt;="&amp;INT($B982),$B:$B,"&lt;"&amp;(INT($B982)+1)))</f>
        <v/>
      </c>
      <c r="F982" s="19" t="str">
        <f aca="false">IF($A982="","",IF(ISNA(MATCH($H982,Buffers!$AE:$AE,0)),"Not on Buffers",IF(NOT(ISNUMBER($B982)),"Needs a date",IF(INT($B982)&lt;PlanDate,"Past due",IF(INT($B982)=PlanDate,"Due today",IF(AND(INDEX(Buffers!$L:$L,MATCH($H982,Buffers!$AE:$AE,0))="Planned",$E982&gt;0,INT($B982)&lt;=PlanDate+ROUNDUP(IF(ISNUMBER(SpikeHorizon),SpikeHorizon,INDEX(Buffers!$D:$D,MATCH($H982,Buffers!$AE:$AE,0))),0),$E982&gt;=SpikePct*INDEX(Buffers!$P:$P,MATCH($H982,Buffers!$AE:$AE,0))),"Spike","Not qualified"))))))</f>
        <v/>
      </c>
      <c r="G982" s="8" t="str">
        <f aca="false">IF($A982="","",IF(OR($F982="Past due",$F982="Due today",$F982="Spike"),$C982,0))</f>
        <v/>
      </c>
      <c r="H982" s="8" t="str">
        <f aca="false">IF($A982="","",SUBSTITUTE(SUBSTITUTE(SUBSTITUTE($A982&amp;"","~","~~"),"*","~*"),"?","~?"))</f>
        <v/>
      </c>
    </row>
    <row r="983" customFormat="false" ht="15" hidden="false" customHeight="false" outlineLevel="0" collapsed="false">
      <c r="A983" s="11"/>
      <c r="B983" s="6"/>
      <c r="C983" s="11"/>
      <c r="D983" s="11"/>
      <c r="E983" s="8" t="str">
        <f aca="false">IF($A983="","",SUMIFS($C:$C,$A:$A,$H983,$B:$B,"&gt;="&amp;INT($B983),$B:$B,"&lt;"&amp;(INT($B983)+1)))</f>
        <v/>
      </c>
      <c r="F983" s="19" t="str">
        <f aca="false">IF($A983="","",IF(ISNA(MATCH($H983,Buffers!$AE:$AE,0)),"Not on Buffers",IF(NOT(ISNUMBER($B983)),"Needs a date",IF(INT($B983)&lt;PlanDate,"Past due",IF(INT($B983)=PlanDate,"Due today",IF(AND(INDEX(Buffers!$L:$L,MATCH($H983,Buffers!$AE:$AE,0))="Planned",$E983&gt;0,INT($B983)&lt;=PlanDate+ROUNDUP(IF(ISNUMBER(SpikeHorizon),SpikeHorizon,INDEX(Buffers!$D:$D,MATCH($H983,Buffers!$AE:$AE,0))),0),$E983&gt;=SpikePct*INDEX(Buffers!$P:$P,MATCH($H983,Buffers!$AE:$AE,0))),"Spike","Not qualified"))))))</f>
        <v/>
      </c>
      <c r="G983" s="8" t="str">
        <f aca="false">IF($A983="","",IF(OR($F983="Past due",$F983="Due today",$F983="Spike"),$C983,0))</f>
        <v/>
      </c>
      <c r="H983" s="8" t="str">
        <f aca="false">IF($A983="","",SUBSTITUTE(SUBSTITUTE(SUBSTITUTE($A983&amp;"","~","~~"),"*","~*"),"?","~?"))</f>
        <v/>
      </c>
    </row>
    <row r="984" customFormat="false" ht="15" hidden="false" customHeight="false" outlineLevel="0" collapsed="false">
      <c r="A984" s="11"/>
      <c r="B984" s="6"/>
      <c r="C984" s="11"/>
      <c r="D984" s="11"/>
      <c r="E984" s="8" t="str">
        <f aca="false">IF($A984="","",SUMIFS($C:$C,$A:$A,$H984,$B:$B,"&gt;="&amp;INT($B984),$B:$B,"&lt;"&amp;(INT($B984)+1)))</f>
        <v/>
      </c>
      <c r="F984" s="19" t="str">
        <f aca="false">IF($A984="","",IF(ISNA(MATCH($H984,Buffers!$AE:$AE,0)),"Not on Buffers",IF(NOT(ISNUMBER($B984)),"Needs a date",IF(INT($B984)&lt;PlanDate,"Past due",IF(INT($B984)=PlanDate,"Due today",IF(AND(INDEX(Buffers!$L:$L,MATCH($H984,Buffers!$AE:$AE,0))="Planned",$E984&gt;0,INT($B984)&lt;=PlanDate+ROUNDUP(IF(ISNUMBER(SpikeHorizon),SpikeHorizon,INDEX(Buffers!$D:$D,MATCH($H984,Buffers!$AE:$AE,0))),0),$E984&gt;=SpikePct*INDEX(Buffers!$P:$P,MATCH($H984,Buffers!$AE:$AE,0))),"Spike","Not qualified"))))))</f>
        <v/>
      </c>
      <c r="G984" s="8" t="str">
        <f aca="false">IF($A984="","",IF(OR($F984="Past due",$F984="Due today",$F984="Spike"),$C984,0))</f>
        <v/>
      </c>
      <c r="H984" s="8" t="str">
        <f aca="false">IF($A984="","",SUBSTITUTE(SUBSTITUTE(SUBSTITUTE($A984&amp;"","~","~~"),"*","~*"),"?","~?"))</f>
        <v/>
      </c>
    </row>
    <row r="985" customFormat="false" ht="15" hidden="false" customHeight="false" outlineLevel="0" collapsed="false">
      <c r="A985" s="11"/>
      <c r="B985" s="6"/>
      <c r="C985" s="11"/>
      <c r="D985" s="11"/>
      <c r="E985" s="8" t="str">
        <f aca="false">IF($A985="","",SUMIFS($C:$C,$A:$A,$H985,$B:$B,"&gt;="&amp;INT($B985),$B:$B,"&lt;"&amp;(INT($B985)+1)))</f>
        <v/>
      </c>
      <c r="F985" s="19" t="str">
        <f aca="false">IF($A985="","",IF(ISNA(MATCH($H985,Buffers!$AE:$AE,0)),"Not on Buffers",IF(NOT(ISNUMBER($B985)),"Needs a date",IF(INT($B985)&lt;PlanDate,"Past due",IF(INT($B985)=PlanDate,"Due today",IF(AND(INDEX(Buffers!$L:$L,MATCH($H985,Buffers!$AE:$AE,0))="Planned",$E985&gt;0,INT($B985)&lt;=PlanDate+ROUNDUP(IF(ISNUMBER(SpikeHorizon),SpikeHorizon,INDEX(Buffers!$D:$D,MATCH($H985,Buffers!$AE:$AE,0))),0),$E985&gt;=SpikePct*INDEX(Buffers!$P:$P,MATCH($H985,Buffers!$AE:$AE,0))),"Spike","Not qualified"))))))</f>
        <v/>
      </c>
      <c r="G985" s="8" t="str">
        <f aca="false">IF($A985="","",IF(OR($F985="Past due",$F985="Due today",$F985="Spike"),$C985,0))</f>
        <v/>
      </c>
      <c r="H985" s="8" t="str">
        <f aca="false">IF($A985="","",SUBSTITUTE(SUBSTITUTE(SUBSTITUTE($A985&amp;"","~","~~"),"*","~*"),"?","~?"))</f>
        <v/>
      </c>
    </row>
    <row r="986" customFormat="false" ht="15" hidden="false" customHeight="false" outlineLevel="0" collapsed="false">
      <c r="A986" s="11"/>
      <c r="B986" s="6"/>
      <c r="C986" s="11"/>
      <c r="D986" s="11"/>
      <c r="E986" s="8" t="str">
        <f aca="false">IF($A986="","",SUMIFS($C:$C,$A:$A,$H986,$B:$B,"&gt;="&amp;INT($B986),$B:$B,"&lt;"&amp;(INT($B986)+1)))</f>
        <v/>
      </c>
      <c r="F986" s="19" t="str">
        <f aca="false">IF($A986="","",IF(ISNA(MATCH($H986,Buffers!$AE:$AE,0)),"Not on Buffers",IF(NOT(ISNUMBER($B986)),"Needs a date",IF(INT($B986)&lt;PlanDate,"Past due",IF(INT($B986)=PlanDate,"Due today",IF(AND(INDEX(Buffers!$L:$L,MATCH($H986,Buffers!$AE:$AE,0))="Planned",$E986&gt;0,INT($B986)&lt;=PlanDate+ROUNDUP(IF(ISNUMBER(SpikeHorizon),SpikeHorizon,INDEX(Buffers!$D:$D,MATCH($H986,Buffers!$AE:$AE,0))),0),$E986&gt;=SpikePct*INDEX(Buffers!$P:$P,MATCH($H986,Buffers!$AE:$AE,0))),"Spike","Not qualified"))))))</f>
        <v/>
      </c>
      <c r="G986" s="8" t="str">
        <f aca="false">IF($A986="","",IF(OR($F986="Past due",$F986="Due today",$F986="Spike"),$C986,0))</f>
        <v/>
      </c>
      <c r="H986" s="8" t="str">
        <f aca="false">IF($A986="","",SUBSTITUTE(SUBSTITUTE(SUBSTITUTE($A986&amp;"","~","~~"),"*","~*"),"?","~?"))</f>
        <v/>
      </c>
    </row>
    <row r="987" customFormat="false" ht="15" hidden="false" customHeight="false" outlineLevel="0" collapsed="false">
      <c r="A987" s="11"/>
      <c r="B987" s="6"/>
      <c r="C987" s="11"/>
      <c r="D987" s="11"/>
      <c r="E987" s="8" t="str">
        <f aca="false">IF($A987="","",SUMIFS($C:$C,$A:$A,$H987,$B:$B,"&gt;="&amp;INT($B987),$B:$B,"&lt;"&amp;(INT($B987)+1)))</f>
        <v/>
      </c>
      <c r="F987" s="19" t="str">
        <f aca="false">IF($A987="","",IF(ISNA(MATCH($H987,Buffers!$AE:$AE,0)),"Not on Buffers",IF(NOT(ISNUMBER($B987)),"Needs a date",IF(INT($B987)&lt;PlanDate,"Past due",IF(INT($B987)=PlanDate,"Due today",IF(AND(INDEX(Buffers!$L:$L,MATCH($H987,Buffers!$AE:$AE,0))="Planned",$E987&gt;0,INT($B987)&lt;=PlanDate+ROUNDUP(IF(ISNUMBER(SpikeHorizon),SpikeHorizon,INDEX(Buffers!$D:$D,MATCH($H987,Buffers!$AE:$AE,0))),0),$E987&gt;=SpikePct*INDEX(Buffers!$P:$P,MATCH($H987,Buffers!$AE:$AE,0))),"Spike","Not qualified"))))))</f>
        <v/>
      </c>
      <c r="G987" s="8" t="str">
        <f aca="false">IF($A987="","",IF(OR($F987="Past due",$F987="Due today",$F987="Spike"),$C987,0))</f>
        <v/>
      </c>
      <c r="H987" s="8" t="str">
        <f aca="false">IF($A987="","",SUBSTITUTE(SUBSTITUTE(SUBSTITUTE($A987&amp;"","~","~~"),"*","~*"),"?","~?"))</f>
        <v/>
      </c>
    </row>
    <row r="988" customFormat="false" ht="15" hidden="false" customHeight="false" outlineLevel="0" collapsed="false">
      <c r="A988" s="11"/>
      <c r="B988" s="6"/>
      <c r="C988" s="11"/>
      <c r="D988" s="11"/>
      <c r="E988" s="8" t="str">
        <f aca="false">IF($A988="","",SUMIFS($C:$C,$A:$A,$H988,$B:$B,"&gt;="&amp;INT($B988),$B:$B,"&lt;"&amp;(INT($B988)+1)))</f>
        <v/>
      </c>
      <c r="F988" s="19" t="str">
        <f aca="false">IF($A988="","",IF(ISNA(MATCH($H988,Buffers!$AE:$AE,0)),"Not on Buffers",IF(NOT(ISNUMBER($B988)),"Needs a date",IF(INT($B988)&lt;PlanDate,"Past due",IF(INT($B988)=PlanDate,"Due today",IF(AND(INDEX(Buffers!$L:$L,MATCH($H988,Buffers!$AE:$AE,0))="Planned",$E988&gt;0,INT($B988)&lt;=PlanDate+ROUNDUP(IF(ISNUMBER(SpikeHorizon),SpikeHorizon,INDEX(Buffers!$D:$D,MATCH($H988,Buffers!$AE:$AE,0))),0),$E988&gt;=SpikePct*INDEX(Buffers!$P:$P,MATCH($H988,Buffers!$AE:$AE,0))),"Spike","Not qualified"))))))</f>
        <v/>
      </c>
      <c r="G988" s="8" t="str">
        <f aca="false">IF($A988="","",IF(OR($F988="Past due",$F988="Due today",$F988="Spike"),$C988,0))</f>
        <v/>
      </c>
      <c r="H988" s="8" t="str">
        <f aca="false">IF($A988="","",SUBSTITUTE(SUBSTITUTE(SUBSTITUTE($A988&amp;"","~","~~"),"*","~*"),"?","~?"))</f>
        <v/>
      </c>
    </row>
    <row r="989" customFormat="false" ht="15" hidden="false" customHeight="false" outlineLevel="0" collapsed="false">
      <c r="A989" s="11"/>
      <c r="B989" s="6"/>
      <c r="C989" s="11"/>
      <c r="D989" s="11"/>
      <c r="E989" s="8" t="str">
        <f aca="false">IF($A989="","",SUMIFS($C:$C,$A:$A,$H989,$B:$B,"&gt;="&amp;INT($B989),$B:$B,"&lt;"&amp;(INT($B989)+1)))</f>
        <v/>
      </c>
      <c r="F989" s="19" t="str">
        <f aca="false">IF($A989="","",IF(ISNA(MATCH($H989,Buffers!$AE:$AE,0)),"Not on Buffers",IF(NOT(ISNUMBER($B989)),"Needs a date",IF(INT($B989)&lt;PlanDate,"Past due",IF(INT($B989)=PlanDate,"Due today",IF(AND(INDEX(Buffers!$L:$L,MATCH($H989,Buffers!$AE:$AE,0))="Planned",$E989&gt;0,INT($B989)&lt;=PlanDate+ROUNDUP(IF(ISNUMBER(SpikeHorizon),SpikeHorizon,INDEX(Buffers!$D:$D,MATCH($H989,Buffers!$AE:$AE,0))),0),$E989&gt;=SpikePct*INDEX(Buffers!$P:$P,MATCH($H989,Buffers!$AE:$AE,0))),"Spike","Not qualified"))))))</f>
        <v/>
      </c>
      <c r="G989" s="8" t="str">
        <f aca="false">IF($A989="","",IF(OR($F989="Past due",$F989="Due today",$F989="Spike"),$C989,0))</f>
        <v/>
      </c>
      <c r="H989" s="8" t="str">
        <f aca="false">IF($A989="","",SUBSTITUTE(SUBSTITUTE(SUBSTITUTE($A989&amp;"","~","~~"),"*","~*"),"?","~?"))</f>
        <v/>
      </c>
    </row>
    <row r="990" customFormat="false" ht="15" hidden="false" customHeight="false" outlineLevel="0" collapsed="false">
      <c r="A990" s="11"/>
      <c r="B990" s="6"/>
      <c r="C990" s="11"/>
      <c r="D990" s="11"/>
      <c r="E990" s="8" t="str">
        <f aca="false">IF($A990="","",SUMIFS($C:$C,$A:$A,$H990,$B:$B,"&gt;="&amp;INT($B990),$B:$B,"&lt;"&amp;(INT($B990)+1)))</f>
        <v/>
      </c>
      <c r="F990" s="19" t="str">
        <f aca="false">IF($A990="","",IF(ISNA(MATCH($H990,Buffers!$AE:$AE,0)),"Not on Buffers",IF(NOT(ISNUMBER($B990)),"Needs a date",IF(INT($B990)&lt;PlanDate,"Past due",IF(INT($B990)=PlanDate,"Due today",IF(AND(INDEX(Buffers!$L:$L,MATCH($H990,Buffers!$AE:$AE,0))="Planned",$E990&gt;0,INT($B990)&lt;=PlanDate+ROUNDUP(IF(ISNUMBER(SpikeHorizon),SpikeHorizon,INDEX(Buffers!$D:$D,MATCH($H990,Buffers!$AE:$AE,0))),0),$E990&gt;=SpikePct*INDEX(Buffers!$P:$P,MATCH($H990,Buffers!$AE:$AE,0))),"Spike","Not qualified"))))))</f>
        <v/>
      </c>
      <c r="G990" s="8" t="str">
        <f aca="false">IF($A990="","",IF(OR($F990="Past due",$F990="Due today",$F990="Spike"),$C990,0))</f>
        <v/>
      </c>
      <c r="H990" s="8" t="str">
        <f aca="false">IF($A990="","",SUBSTITUTE(SUBSTITUTE(SUBSTITUTE($A990&amp;"","~","~~"),"*","~*"),"?","~?"))</f>
        <v/>
      </c>
    </row>
    <row r="991" customFormat="false" ht="15" hidden="false" customHeight="false" outlineLevel="0" collapsed="false">
      <c r="A991" s="11"/>
      <c r="B991" s="6"/>
      <c r="C991" s="11"/>
      <c r="D991" s="11"/>
      <c r="E991" s="8" t="str">
        <f aca="false">IF($A991="","",SUMIFS($C:$C,$A:$A,$H991,$B:$B,"&gt;="&amp;INT($B991),$B:$B,"&lt;"&amp;(INT($B991)+1)))</f>
        <v/>
      </c>
      <c r="F991" s="19" t="str">
        <f aca="false">IF($A991="","",IF(ISNA(MATCH($H991,Buffers!$AE:$AE,0)),"Not on Buffers",IF(NOT(ISNUMBER($B991)),"Needs a date",IF(INT($B991)&lt;PlanDate,"Past due",IF(INT($B991)=PlanDate,"Due today",IF(AND(INDEX(Buffers!$L:$L,MATCH($H991,Buffers!$AE:$AE,0))="Planned",$E991&gt;0,INT($B991)&lt;=PlanDate+ROUNDUP(IF(ISNUMBER(SpikeHorizon),SpikeHorizon,INDEX(Buffers!$D:$D,MATCH($H991,Buffers!$AE:$AE,0))),0),$E991&gt;=SpikePct*INDEX(Buffers!$P:$P,MATCH($H991,Buffers!$AE:$AE,0))),"Spike","Not qualified"))))))</f>
        <v/>
      </c>
      <c r="G991" s="8" t="str">
        <f aca="false">IF($A991="","",IF(OR($F991="Past due",$F991="Due today",$F991="Spike"),$C991,0))</f>
        <v/>
      </c>
      <c r="H991" s="8" t="str">
        <f aca="false">IF($A991="","",SUBSTITUTE(SUBSTITUTE(SUBSTITUTE($A991&amp;"","~","~~"),"*","~*"),"?","~?"))</f>
        <v/>
      </c>
    </row>
    <row r="992" customFormat="false" ht="15" hidden="false" customHeight="false" outlineLevel="0" collapsed="false">
      <c r="A992" s="11"/>
      <c r="B992" s="6"/>
      <c r="C992" s="11"/>
      <c r="D992" s="11"/>
      <c r="E992" s="8" t="str">
        <f aca="false">IF($A992="","",SUMIFS($C:$C,$A:$A,$H992,$B:$B,"&gt;="&amp;INT($B992),$B:$B,"&lt;"&amp;(INT($B992)+1)))</f>
        <v/>
      </c>
      <c r="F992" s="19" t="str">
        <f aca="false">IF($A992="","",IF(ISNA(MATCH($H992,Buffers!$AE:$AE,0)),"Not on Buffers",IF(NOT(ISNUMBER($B992)),"Needs a date",IF(INT($B992)&lt;PlanDate,"Past due",IF(INT($B992)=PlanDate,"Due today",IF(AND(INDEX(Buffers!$L:$L,MATCH($H992,Buffers!$AE:$AE,0))="Planned",$E992&gt;0,INT($B992)&lt;=PlanDate+ROUNDUP(IF(ISNUMBER(SpikeHorizon),SpikeHorizon,INDEX(Buffers!$D:$D,MATCH($H992,Buffers!$AE:$AE,0))),0),$E992&gt;=SpikePct*INDEX(Buffers!$P:$P,MATCH($H992,Buffers!$AE:$AE,0))),"Spike","Not qualified"))))))</f>
        <v/>
      </c>
      <c r="G992" s="8" t="str">
        <f aca="false">IF($A992="","",IF(OR($F992="Past due",$F992="Due today",$F992="Spike"),$C992,0))</f>
        <v/>
      </c>
      <c r="H992" s="8" t="str">
        <f aca="false">IF($A992="","",SUBSTITUTE(SUBSTITUTE(SUBSTITUTE($A992&amp;"","~","~~"),"*","~*"),"?","~?"))</f>
        <v/>
      </c>
    </row>
    <row r="993" customFormat="false" ht="15" hidden="false" customHeight="false" outlineLevel="0" collapsed="false">
      <c r="A993" s="11"/>
      <c r="B993" s="6"/>
      <c r="C993" s="11"/>
      <c r="D993" s="11"/>
      <c r="E993" s="8" t="str">
        <f aca="false">IF($A993="","",SUMIFS($C:$C,$A:$A,$H993,$B:$B,"&gt;="&amp;INT($B993),$B:$B,"&lt;"&amp;(INT($B993)+1)))</f>
        <v/>
      </c>
      <c r="F993" s="19" t="str">
        <f aca="false">IF($A993="","",IF(ISNA(MATCH($H993,Buffers!$AE:$AE,0)),"Not on Buffers",IF(NOT(ISNUMBER($B993)),"Needs a date",IF(INT($B993)&lt;PlanDate,"Past due",IF(INT($B993)=PlanDate,"Due today",IF(AND(INDEX(Buffers!$L:$L,MATCH($H993,Buffers!$AE:$AE,0))="Planned",$E993&gt;0,INT($B993)&lt;=PlanDate+ROUNDUP(IF(ISNUMBER(SpikeHorizon),SpikeHorizon,INDEX(Buffers!$D:$D,MATCH($H993,Buffers!$AE:$AE,0))),0),$E993&gt;=SpikePct*INDEX(Buffers!$P:$P,MATCH($H993,Buffers!$AE:$AE,0))),"Spike","Not qualified"))))))</f>
        <v/>
      </c>
      <c r="G993" s="8" t="str">
        <f aca="false">IF($A993="","",IF(OR($F993="Past due",$F993="Due today",$F993="Spike"),$C993,0))</f>
        <v/>
      </c>
      <c r="H993" s="8" t="str">
        <f aca="false">IF($A993="","",SUBSTITUTE(SUBSTITUTE(SUBSTITUTE($A993&amp;"","~","~~"),"*","~*"),"?","~?"))</f>
        <v/>
      </c>
    </row>
    <row r="994" customFormat="false" ht="15" hidden="false" customHeight="false" outlineLevel="0" collapsed="false">
      <c r="A994" s="11"/>
      <c r="B994" s="6"/>
      <c r="C994" s="11"/>
      <c r="D994" s="11"/>
      <c r="E994" s="8" t="str">
        <f aca="false">IF($A994="","",SUMIFS($C:$C,$A:$A,$H994,$B:$B,"&gt;="&amp;INT($B994),$B:$B,"&lt;"&amp;(INT($B994)+1)))</f>
        <v/>
      </c>
      <c r="F994" s="19" t="str">
        <f aca="false">IF($A994="","",IF(ISNA(MATCH($H994,Buffers!$AE:$AE,0)),"Not on Buffers",IF(NOT(ISNUMBER($B994)),"Needs a date",IF(INT($B994)&lt;PlanDate,"Past due",IF(INT($B994)=PlanDate,"Due today",IF(AND(INDEX(Buffers!$L:$L,MATCH($H994,Buffers!$AE:$AE,0))="Planned",$E994&gt;0,INT($B994)&lt;=PlanDate+ROUNDUP(IF(ISNUMBER(SpikeHorizon),SpikeHorizon,INDEX(Buffers!$D:$D,MATCH($H994,Buffers!$AE:$AE,0))),0),$E994&gt;=SpikePct*INDEX(Buffers!$P:$P,MATCH($H994,Buffers!$AE:$AE,0))),"Spike","Not qualified"))))))</f>
        <v/>
      </c>
      <c r="G994" s="8" t="str">
        <f aca="false">IF($A994="","",IF(OR($F994="Past due",$F994="Due today",$F994="Spike"),$C994,0))</f>
        <v/>
      </c>
      <c r="H994" s="8" t="str">
        <f aca="false">IF($A994="","",SUBSTITUTE(SUBSTITUTE(SUBSTITUTE($A994&amp;"","~","~~"),"*","~*"),"?","~?"))</f>
        <v/>
      </c>
    </row>
    <row r="995" customFormat="false" ht="15" hidden="false" customHeight="false" outlineLevel="0" collapsed="false">
      <c r="A995" s="11"/>
      <c r="B995" s="6"/>
      <c r="C995" s="11"/>
      <c r="D995" s="11"/>
      <c r="E995" s="8" t="str">
        <f aca="false">IF($A995="","",SUMIFS($C:$C,$A:$A,$H995,$B:$B,"&gt;="&amp;INT($B995),$B:$B,"&lt;"&amp;(INT($B995)+1)))</f>
        <v/>
      </c>
      <c r="F995" s="19" t="str">
        <f aca="false">IF($A995="","",IF(ISNA(MATCH($H995,Buffers!$AE:$AE,0)),"Not on Buffers",IF(NOT(ISNUMBER($B995)),"Needs a date",IF(INT($B995)&lt;PlanDate,"Past due",IF(INT($B995)=PlanDate,"Due today",IF(AND(INDEX(Buffers!$L:$L,MATCH($H995,Buffers!$AE:$AE,0))="Planned",$E995&gt;0,INT($B995)&lt;=PlanDate+ROUNDUP(IF(ISNUMBER(SpikeHorizon),SpikeHorizon,INDEX(Buffers!$D:$D,MATCH($H995,Buffers!$AE:$AE,0))),0),$E995&gt;=SpikePct*INDEX(Buffers!$P:$P,MATCH($H995,Buffers!$AE:$AE,0))),"Spike","Not qualified"))))))</f>
        <v/>
      </c>
      <c r="G995" s="8" t="str">
        <f aca="false">IF($A995="","",IF(OR($F995="Past due",$F995="Due today",$F995="Spike"),$C995,0))</f>
        <v/>
      </c>
      <c r="H995" s="8" t="str">
        <f aca="false">IF($A995="","",SUBSTITUTE(SUBSTITUTE(SUBSTITUTE($A995&amp;"","~","~~"),"*","~*"),"?","~?"))</f>
        <v/>
      </c>
    </row>
    <row r="996" customFormat="false" ht="15" hidden="false" customHeight="false" outlineLevel="0" collapsed="false">
      <c r="A996" s="11"/>
      <c r="B996" s="6"/>
      <c r="C996" s="11"/>
      <c r="D996" s="11"/>
      <c r="E996" s="8" t="str">
        <f aca="false">IF($A996="","",SUMIFS($C:$C,$A:$A,$H996,$B:$B,"&gt;="&amp;INT($B996),$B:$B,"&lt;"&amp;(INT($B996)+1)))</f>
        <v/>
      </c>
      <c r="F996" s="19" t="str">
        <f aca="false">IF($A996="","",IF(ISNA(MATCH($H996,Buffers!$AE:$AE,0)),"Not on Buffers",IF(NOT(ISNUMBER($B996)),"Needs a date",IF(INT($B996)&lt;PlanDate,"Past due",IF(INT($B996)=PlanDate,"Due today",IF(AND(INDEX(Buffers!$L:$L,MATCH($H996,Buffers!$AE:$AE,0))="Planned",$E996&gt;0,INT($B996)&lt;=PlanDate+ROUNDUP(IF(ISNUMBER(SpikeHorizon),SpikeHorizon,INDEX(Buffers!$D:$D,MATCH($H996,Buffers!$AE:$AE,0))),0),$E996&gt;=SpikePct*INDEX(Buffers!$P:$P,MATCH($H996,Buffers!$AE:$AE,0))),"Spike","Not qualified"))))))</f>
        <v/>
      </c>
      <c r="G996" s="8" t="str">
        <f aca="false">IF($A996="","",IF(OR($F996="Past due",$F996="Due today",$F996="Spike"),$C996,0))</f>
        <v/>
      </c>
      <c r="H996" s="8" t="str">
        <f aca="false">IF($A996="","",SUBSTITUTE(SUBSTITUTE(SUBSTITUTE($A996&amp;"","~","~~"),"*","~*"),"?","~?"))</f>
        <v/>
      </c>
    </row>
    <row r="997" customFormat="false" ht="15" hidden="false" customHeight="false" outlineLevel="0" collapsed="false">
      <c r="A997" s="11"/>
      <c r="B997" s="6"/>
      <c r="C997" s="11"/>
      <c r="D997" s="11"/>
      <c r="E997" s="8" t="str">
        <f aca="false">IF($A997="","",SUMIFS($C:$C,$A:$A,$H997,$B:$B,"&gt;="&amp;INT($B997),$B:$B,"&lt;"&amp;(INT($B997)+1)))</f>
        <v/>
      </c>
      <c r="F997" s="19" t="str">
        <f aca="false">IF($A997="","",IF(ISNA(MATCH($H997,Buffers!$AE:$AE,0)),"Not on Buffers",IF(NOT(ISNUMBER($B997)),"Needs a date",IF(INT($B997)&lt;PlanDate,"Past due",IF(INT($B997)=PlanDate,"Due today",IF(AND(INDEX(Buffers!$L:$L,MATCH($H997,Buffers!$AE:$AE,0))="Planned",$E997&gt;0,INT($B997)&lt;=PlanDate+ROUNDUP(IF(ISNUMBER(SpikeHorizon),SpikeHorizon,INDEX(Buffers!$D:$D,MATCH($H997,Buffers!$AE:$AE,0))),0),$E997&gt;=SpikePct*INDEX(Buffers!$P:$P,MATCH($H997,Buffers!$AE:$AE,0))),"Spike","Not qualified"))))))</f>
        <v/>
      </c>
      <c r="G997" s="8" t="str">
        <f aca="false">IF($A997="","",IF(OR($F997="Past due",$F997="Due today",$F997="Spike"),$C997,0))</f>
        <v/>
      </c>
      <c r="H997" s="8" t="str">
        <f aca="false">IF($A997="","",SUBSTITUTE(SUBSTITUTE(SUBSTITUTE($A997&amp;"","~","~~"),"*","~*"),"?","~?"))</f>
        <v/>
      </c>
    </row>
    <row r="998" customFormat="false" ht="15" hidden="false" customHeight="false" outlineLevel="0" collapsed="false">
      <c r="A998" s="11"/>
      <c r="B998" s="6"/>
      <c r="C998" s="11"/>
      <c r="D998" s="11"/>
      <c r="E998" s="8" t="str">
        <f aca="false">IF($A998="","",SUMIFS($C:$C,$A:$A,$H998,$B:$B,"&gt;="&amp;INT($B998),$B:$B,"&lt;"&amp;(INT($B998)+1)))</f>
        <v/>
      </c>
      <c r="F998" s="19" t="str">
        <f aca="false">IF($A998="","",IF(ISNA(MATCH($H998,Buffers!$AE:$AE,0)),"Not on Buffers",IF(NOT(ISNUMBER($B998)),"Needs a date",IF(INT($B998)&lt;PlanDate,"Past due",IF(INT($B998)=PlanDate,"Due today",IF(AND(INDEX(Buffers!$L:$L,MATCH($H998,Buffers!$AE:$AE,0))="Planned",$E998&gt;0,INT($B998)&lt;=PlanDate+ROUNDUP(IF(ISNUMBER(SpikeHorizon),SpikeHorizon,INDEX(Buffers!$D:$D,MATCH($H998,Buffers!$AE:$AE,0))),0),$E998&gt;=SpikePct*INDEX(Buffers!$P:$P,MATCH($H998,Buffers!$AE:$AE,0))),"Spike","Not qualified"))))))</f>
        <v/>
      </c>
      <c r="G998" s="8" t="str">
        <f aca="false">IF($A998="","",IF(OR($F998="Past due",$F998="Due today",$F998="Spike"),$C998,0))</f>
        <v/>
      </c>
      <c r="H998" s="8" t="str">
        <f aca="false">IF($A998="","",SUBSTITUTE(SUBSTITUTE(SUBSTITUTE($A998&amp;"","~","~~"),"*","~*"),"?","~?"))</f>
        <v/>
      </c>
    </row>
    <row r="999" customFormat="false" ht="15" hidden="false" customHeight="false" outlineLevel="0" collapsed="false">
      <c r="A999" s="11"/>
      <c r="B999" s="6"/>
      <c r="C999" s="11"/>
      <c r="D999" s="11"/>
      <c r="E999" s="8" t="str">
        <f aca="false">IF($A999="","",SUMIFS($C:$C,$A:$A,$H999,$B:$B,"&gt;="&amp;INT($B999),$B:$B,"&lt;"&amp;(INT($B999)+1)))</f>
        <v/>
      </c>
      <c r="F999" s="19" t="str">
        <f aca="false">IF($A999="","",IF(ISNA(MATCH($H999,Buffers!$AE:$AE,0)),"Not on Buffers",IF(NOT(ISNUMBER($B999)),"Needs a date",IF(INT($B999)&lt;PlanDate,"Past due",IF(INT($B999)=PlanDate,"Due today",IF(AND(INDEX(Buffers!$L:$L,MATCH($H999,Buffers!$AE:$AE,0))="Planned",$E999&gt;0,INT($B999)&lt;=PlanDate+ROUNDUP(IF(ISNUMBER(SpikeHorizon),SpikeHorizon,INDEX(Buffers!$D:$D,MATCH($H999,Buffers!$AE:$AE,0))),0),$E999&gt;=SpikePct*INDEX(Buffers!$P:$P,MATCH($H999,Buffers!$AE:$AE,0))),"Spike","Not qualified"))))))</f>
        <v/>
      </c>
      <c r="G999" s="8" t="str">
        <f aca="false">IF($A999="","",IF(OR($F999="Past due",$F999="Due today",$F999="Spike"),$C999,0))</f>
        <v/>
      </c>
      <c r="H999" s="8" t="str">
        <f aca="false">IF($A999="","",SUBSTITUTE(SUBSTITUTE(SUBSTITUTE($A999&amp;"","~","~~"),"*","~*"),"?","~?"))</f>
        <v/>
      </c>
    </row>
    <row r="1000" customFormat="false" ht="15" hidden="false" customHeight="false" outlineLevel="0" collapsed="false">
      <c r="A1000" s="11"/>
      <c r="B1000" s="6"/>
      <c r="C1000" s="11"/>
      <c r="D1000" s="11"/>
      <c r="E1000" s="8" t="str">
        <f aca="false">IF($A1000="","",SUMIFS($C:$C,$A:$A,$H1000,$B:$B,"&gt;="&amp;INT($B1000),$B:$B,"&lt;"&amp;(INT($B1000)+1)))</f>
        <v/>
      </c>
      <c r="F1000" s="19" t="str">
        <f aca="false">IF($A1000="","",IF(ISNA(MATCH($H1000,Buffers!$AE:$AE,0)),"Not on Buffers",IF(NOT(ISNUMBER($B1000)),"Needs a date",IF(INT($B1000)&lt;PlanDate,"Past due",IF(INT($B1000)=PlanDate,"Due today",IF(AND(INDEX(Buffers!$L:$L,MATCH($H1000,Buffers!$AE:$AE,0))="Planned",$E1000&gt;0,INT($B1000)&lt;=PlanDate+ROUNDUP(IF(ISNUMBER(SpikeHorizon),SpikeHorizon,INDEX(Buffers!$D:$D,MATCH($H1000,Buffers!$AE:$AE,0))),0),$E1000&gt;=SpikePct*INDEX(Buffers!$P:$P,MATCH($H1000,Buffers!$AE:$AE,0))),"Spike","Not qualified"))))))</f>
        <v/>
      </c>
      <c r="G1000" s="8" t="str">
        <f aca="false">IF($A1000="","",IF(OR($F1000="Past due",$F1000="Due today",$F1000="Spike"),$C1000,0))</f>
        <v/>
      </c>
      <c r="H1000" s="8" t="str">
        <f aca="false">IF($A1000="","",SUBSTITUTE(SUBSTITUTE(SUBSTITUTE($A1000&amp;"","~","~~"),"*","~*"),"?","~?"))</f>
        <v/>
      </c>
    </row>
    <row r="1001" customFormat="false" ht="15" hidden="false" customHeight="false" outlineLevel="0" collapsed="false">
      <c r="A1001" s="11"/>
      <c r="B1001" s="6"/>
      <c r="C1001" s="11"/>
      <c r="D1001" s="11"/>
      <c r="E1001" s="8" t="str">
        <f aca="false">IF($A1001="","",SUMIFS($C:$C,$A:$A,$H1001,$B:$B,"&gt;="&amp;INT($B1001),$B:$B,"&lt;"&amp;(INT($B1001)+1)))</f>
        <v/>
      </c>
      <c r="F1001" s="19" t="str">
        <f aca="false">IF($A1001="","",IF(ISNA(MATCH($H1001,Buffers!$AE:$AE,0)),"Not on Buffers",IF(NOT(ISNUMBER($B1001)),"Needs a date",IF(INT($B1001)&lt;PlanDate,"Past due",IF(INT($B1001)=PlanDate,"Due today",IF(AND(INDEX(Buffers!$L:$L,MATCH($H1001,Buffers!$AE:$AE,0))="Planned",$E1001&gt;0,INT($B1001)&lt;=PlanDate+ROUNDUP(IF(ISNUMBER(SpikeHorizon),SpikeHorizon,INDEX(Buffers!$D:$D,MATCH($H1001,Buffers!$AE:$AE,0))),0),$E1001&gt;=SpikePct*INDEX(Buffers!$P:$P,MATCH($H1001,Buffers!$AE:$AE,0))),"Spike","Not qualified"))))))</f>
        <v/>
      </c>
      <c r="G1001" s="8" t="str">
        <f aca="false">IF($A1001="","",IF(OR($F1001="Past due",$F1001="Due today",$F1001="Spike"),$C1001,0))</f>
        <v/>
      </c>
      <c r="H1001" s="8" t="str">
        <f aca="false">IF($A1001="","",SUBSTITUTE(SUBSTITUTE(SUBSTITUTE($A1001&amp;"","~","~~"),"*","~*"),"?","~?"))</f>
        <v/>
      </c>
    </row>
    <row r="1002" customFormat="false" ht="15" hidden="false" customHeight="false" outlineLevel="0" collapsed="false">
      <c r="A1002" s="11"/>
      <c r="B1002" s="6"/>
      <c r="C1002" s="11"/>
      <c r="D1002" s="11"/>
      <c r="E1002" s="8" t="str">
        <f aca="false">IF($A1002="","",SUMIFS($C:$C,$A:$A,$H1002,$B:$B,"&gt;="&amp;INT($B1002),$B:$B,"&lt;"&amp;(INT($B1002)+1)))</f>
        <v/>
      </c>
      <c r="F1002" s="19" t="str">
        <f aca="false">IF($A1002="","",IF(ISNA(MATCH($H1002,Buffers!$AE:$AE,0)),"Not on Buffers",IF(NOT(ISNUMBER($B1002)),"Needs a date",IF(INT($B1002)&lt;PlanDate,"Past due",IF(INT($B1002)=PlanDate,"Due today",IF(AND(INDEX(Buffers!$L:$L,MATCH($H1002,Buffers!$AE:$AE,0))="Planned",$E1002&gt;0,INT($B1002)&lt;=PlanDate+ROUNDUP(IF(ISNUMBER(SpikeHorizon),SpikeHorizon,INDEX(Buffers!$D:$D,MATCH($H1002,Buffers!$AE:$AE,0))),0),$E1002&gt;=SpikePct*INDEX(Buffers!$P:$P,MATCH($H1002,Buffers!$AE:$AE,0))),"Spike","Not qualified"))))))</f>
        <v/>
      </c>
      <c r="G1002" s="8" t="str">
        <f aca="false">IF($A1002="","",IF(OR($F1002="Past due",$F1002="Due today",$F1002="Spike"),$C1002,0))</f>
        <v/>
      </c>
      <c r="H1002" s="8" t="str">
        <f aca="false">IF($A1002="","",SUBSTITUTE(SUBSTITUTE(SUBSTITUTE($A1002&amp;"","~","~~"),"*","~*"),"?","~?"))</f>
        <v/>
      </c>
    </row>
    <row r="1003" customFormat="false" ht="15" hidden="false" customHeight="false" outlineLevel="0" collapsed="false">
      <c r="A1003" s="11"/>
      <c r="B1003" s="6"/>
      <c r="C1003" s="11"/>
      <c r="D1003" s="11"/>
      <c r="E1003" s="8" t="str">
        <f aca="false">IF($A1003="","",SUMIFS($C:$C,$A:$A,$H1003,$B:$B,"&gt;="&amp;INT($B1003),$B:$B,"&lt;"&amp;(INT($B1003)+1)))</f>
        <v/>
      </c>
      <c r="F1003" s="19" t="str">
        <f aca="false">IF($A1003="","",IF(ISNA(MATCH($H1003,Buffers!$AE:$AE,0)),"Not on Buffers",IF(NOT(ISNUMBER($B1003)),"Needs a date",IF(INT($B1003)&lt;PlanDate,"Past due",IF(INT($B1003)=PlanDate,"Due today",IF(AND(INDEX(Buffers!$L:$L,MATCH($H1003,Buffers!$AE:$AE,0))="Planned",$E1003&gt;0,INT($B1003)&lt;=PlanDate+ROUNDUP(IF(ISNUMBER(SpikeHorizon),SpikeHorizon,INDEX(Buffers!$D:$D,MATCH($H1003,Buffers!$AE:$AE,0))),0),$E1003&gt;=SpikePct*INDEX(Buffers!$P:$P,MATCH($H1003,Buffers!$AE:$AE,0))),"Spike","Not qualified"))))))</f>
        <v/>
      </c>
      <c r="G1003" s="8" t="str">
        <f aca="false">IF($A1003="","",IF(OR($F1003="Past due",$F1003="Due today",$F1003="Spike"),$C1003,0))</f>
        <v/>
      </c>
      <c r="H1003" s="8" t="str">
        <f aca="false">IF($A1003="","",SUBSTITUTE(SUBSTITUTE(SUBSTITUTE($A1003&amp;"","~","~~"),"*","~*"),"?","~?"))</f>
        <v/>
      </c>
    </row>
    <row r="1004" customFormat="false" ht="15" hidden="false" customHeight="false" outlineLevel="0" collapsed="false">
      <c r="A1004" s="11"/>
      <c r="B1004" s="6"/>
      <c r="C1004" s="11"/>
      <c r="D1004" s="11"/>
      <c r="E1004" s="8" t="str">
        <f aca="false">IF($A1004="","",SUMIFS($C:$C,$A:$A,$H1004,$B:$B,"&gt;="&amp;INT($B1004),$B:$B,"&lt;"&amp;(INT($B1004)+1)))</f>
        <v/>
      </c>
      <c r="F1004" s="19" t="str">
        <f aca="false">IF($A1004="","",IF(ISNA(MATCH($H1004,Buffers!$AE:$AE,0)),"Not on Buffers",IF(NOT(ISNUMBER($B1004)),"Needs a date",IF(INT($B1004)&lt;PlanDate,"Past due",IF(INT($B1004)=PlanDate,"Due today",IF(AND(INDEX(Buffers!$L:$L,MATCH($H1004,Buffers!$AE:$AE,0))="Planned",$E1004&gt;0,INT($B1004)&lt;=PlanDate+ROUNDUP(IF(ISNUMBER(SpikeHorizon),SpikeHorizon,INDEX(Buffers!$D:$D,MATCH($H1004,Buffers!$AE:$AE,0))),0),$E1004&gt;=SpikePct*INDEX(Buffers!$P:$P,MATCH($H1004,Buffers!$AE:$AE,0))),"Spike","Not qualified"))))))</f>
        <v/>
      </c>
      <c r="G1004" s="8" t="str">
        <f aca="false">IF($A1004="","",IF(OR($F1004="Past due",$F1004="Due today",$F1004="Spike"),$C1004,0))</f>
        <v/>
      </c>
      <c r="H1004" s="8" t="str">
        <f aca="false">IF($A1004="","",SUBSTITUTE(SUBSTITUTE(SUBSTITUTE($A1004&amp;"","~","~~"),"*","~*"),"?","~?"))</f>
        <v/>
      </c>
    </row>
    <row r="1005" customFormat="false" ht="15" hidden="false" customHeight="false" outlineLevel="0" collapsed="false">
      <c r="A1005" s="11"/>
      <c r="B1005" s="6"/>
      <c r="C1005" s="11"/>
      <c r="D1005" s="11"/>
      <c r="E1005" s="8" t="str">
        <f aca="false">IF($A1005="","",SUMIFS($C:$C,$A:$A,$H1005,$B:$B,"&gt;="&amp;INT($B1005),$B:$B,"&lt;"&amp;(INT($B1005)+1)))</f>
        <v/>
      </c>
      <c r="F1005" s="19" t="str">
        <f aca="false">IF($A1005="","",IF(ISNA(MATCH($H1005,Buffers!$AE:$AE,0)),"Not on Buffers",IF(NOT(ISNUMBER($B1005)),"Needs a date",IF(INT($B1005)&lt;PlanDate,"Past due",IF(INT($B1005)=PlanDate,"Due today",IF(AND(INDEX(Buffers!$L:$L,MATCH($H1005,Buffers!$AE:$AE,0))="Planned",$E1005&gt;0,INT($B1005)&lt;=PlanDate+ROUNDUP(IF(ISNUMBER(SpikeHorizon),SpikeHorizon,INDEX(Buffers!$D:$D,MATCH($H1005,Buffers!$AE:$AE,0))),0),$E1005&gt;=SpikePct*INDEX(Buffers!$P:$P,MATCH($H1005,Buffers!$AE:$AE,0))),"Spike","Not qualified"))))))</f>
        <v/>
      </c>
      <c r="G1005" s="8" t="str">
        <f aca="false">IF($A1005="","",IF(OR($F1005="Past due",$F1005="Due today",$F1005="Spike"),$C1005,0))</f>
        <v/>
      </c>
      <c r="H1005" s="8" t="str">
        <f aca="false">IF($A1005="","",SUBSTITUTE(SUBSTITUTE(SUBSTITUTE($A1005&amp;"","~","~~"),"*","~*"),"?","~?"))</f>
        <v/>
      </c>
    </row>
    <row r="1006" customFormat="false" ht="15" hidden="false" customHeight="false" outlineLevel="0" collapsed="false">
      <c r="A1006" s="11"/>
      <c r="B1006" s="6"/>
      <c r="C1006" s="11"/>
      <c r="D1006" s="11"/>
      <c r="E1006" s="8" t="str">
        <f aca="false">IF($A1006="","",SUMIFS($C:$C,$A:$A,$H1006,$B:$B,"&gt;="&amp;INT($B1006),$B:$B,"&lt;"&amp;(INT($B1006)+1)))</f>
        <v/>
      </c>
      <c r="F1006" s="19" t="str">
        <f aca="false">IF($A1006="","",IF(ISNA(MATCH($H1006,Buffers!$AE:$AE,0)),"Not on Buffers",IF(NOT(ISNUMBER($B1006)),"Needs a date",IF(INT($B1006)&lt;PlanDate,"Past due",IF(INT($B1006)=PlanDate,"Due today",IF(AND(INDEX(Buffers!$L:$L,MATCH($H1006,Buffers!$AE:$AE,0))="Planned",$E1006&gt;0,INT($B1006)&lt;=PlanDate+ROUNDUP(IF(ISNUMBER(SpikeHorizon),SpikeHorizon,INDEX(Buffers!$D:$D,MATCH($H1006,Buffers!$AE:$AE,0))),0),$E1006&gt;=SpikePct*INDEX(Buffers!$P:$P,MATCH($H1006,Buffers!$AE:$AE,0))),"Spike","Not qualified"))))))</f>
        <v/>
      </c>
      <c r="G1006" s="8" t="str">
        <f aca="false">IF($A1006="","",IF(OR($F1006="Past due",$F1006="Due today",$F1006="Spike"),$C1006,0))</f>
        <v/>
      </c>
      <c r="H1006" s="8" t="str">
        <f aca="false">IF($A1006="","",SUBSTITUTE(SUBSTITUTE(SUBSTITUTE($A1006&amp;"","~","~~"),"*","~*"),"?","~?"))</f>
        <v/>
      </c>
    </row>
    <row r="1007" customFormat="false" ht="15" hidden="false" customHeight="false" outlineLevel="0" collapsed="false">
      <c r="A1007" s="11"/>
      <c r="B1007" s="6"/>
      <c r="C1007" s="11"/>
      <c r="D1007" s="11"/>
      <c r="E1007" s="8" t="str">
        <f aca="false">IF($A1007="","",SUMIFS($C:$C,$A:$A,$H1007,$B:$B,"&gt;="&amp;INT($B1007),$B:$B,"&lt;"&amp;(INT($B1007)+1)))</f>
        <v/>
      </c>
      <c r="F1007" s="19" t="str">
        <f aca="false">IF($A1007="","",IF(ISNA(MATCH($H1007,Buffers!$AE:$AE,0)),"Not on Buffers",IF(NOT(ISNUMBER($B1007)),"Needs a date",IF(INT($B1007)&lt;PlanDate,"Past due",IF(INT($B1007)=PlanDate,"Due today",IF(AND(INDEX(Buffers!$L:$L,MATCH($H1007,Buffers!$AE:$AE,0))="Planned",$E1007&gt;0,INT($B1007)&lt;=PlanDate+ROUNDUP(IF(ISNUMBER(SpikeHorizon),SpikeHorizon,INDEX(Buffers!$D:$D,MATCH($H1007,Buffers!$AE:$AE,0))),0),$E1007&gt;=SpikePct*INDEX(Buffers!$P:$P,MATCH($H1007,Buffers!$AE:$AE,0))),"Spike","Not qualified"))))))</f>
        <v/>
      </c>
      <c r="G1007" s="8" t="str">
        <f aca="false">IF($A1007="","",IF(OR($F1007="Past due",$F1007="Due today",$F1007="Spike"),$C1007,0))</f>
        <v/>
      </c>
      <c r="H1007" s="8" t="str">
        <f aca="false">IF($A1007="","",SUBSTITUTE(SUBSTITUTE(SUBSTITUTE($A1007&amp;"","~","~~"),"*","~*"),"?","~?"))</f>
        <v/>
      </c>
    </row>
    <row r="1008" customFormat="false" ht="15" hidden="false" customHeight="false" outlineLevel="0" collapsed="false">
      <c r="A1008" s="11"/>
      <c r="B1008" s="6"/>
      <c r="C1008" s="11"/>
      <c r="D1008" s="11"/>
      <c r="E1008" s="8" t="str">
        <f aca="false">IF($A1008="","",SUMIFS($C:$C,$A:$A,$H1008,$B:$B,"&gt;="&amp;INT($B1008),$B:$B,"&lt;"&amp;(INT($B1008)+1)))</f>
        <v/>
      </c>
      <c r="F1008" s="19" t="str">
        <f aca="false">IF($A1008="","",IF(ISNA(MATCH($H1008,Buffers!$AE:$AE,0)),"Not on Buffers",IF(NOT(ISNUMBER($B1008)),"Needs a date",IF(INT($B1008)&lt;PlanDate,"Past due",IF(INT($B1008)=PlanDate,"Due today",IF(AND(INDEX(Buffers!$L:$L,MATCH($H1008,Buffers!$AE:$AE,0))="Planned",$E1008&gt;0,INT($B1008)&lt;=PlanDate+ROUNDUP(IF(ISNUMBER(SpikeHorizon),SpikeHorizon,INDEX(Buffers!$D:$D,MATCH($H1008,Buffers!$AE:$AE,0))),0),$E1008&gt;=SpikePct*INDEX(Buffers!$P:$P,MATCH($H1008,Buffers!$AE:$AE,0))),"Spike","Not qualified"))))))</f>
        <v/>
      </c>
      <c r="G1008" s="8" t="str">
        <f aca="false">IF($A1008="","",IF(OR($F1008="Past due",$F1008="Due today",$F1008="Spike"),$C1008,0))</f>
        <v/>
      </c>
      <c r="H1008" s="8" t="str">
        <f aca="false">IF($A1008="","",SUBSTITUTE(SUBSTITUTE(SUBSTITUTE($A1008&amp;"","~","~~"),"*","~*"),"?","~?"))</f>
        <v/>
      </c>
    </row>
    <row r="1009" customFormat="false" ht="15" hidden="false" customHeight="false" outlineLevel="0" collapsed="false">
      <c r="A1009" s="11"/>
      <c r="B1009" s="6"/>
      <c r="C1009" s="11"/>
      <c r="D1009" s="11"/>
      <c r="E1009" s="8" t="str">
        <f aca="false">IF($A1009="","",SUMIFS($C:$C,$A:$A,$H1009,$B:$B,"&gt;="&amp;INT($B1009),$B:$B,"&lt;"&amp;(INT($B1009)+1)))</f>
        <v/>
      </c>
      <c r="F1009" s="19" t="str">
        <f aca="false">IF($A1009="","",IF(ISNA(MATCH($H1009,Buffers!$AE:$AE,0)),"Not on Buffers",IF(NOT(ISNUMBER($B1009)),"Needs a date",IF(INT($B1009)&lt;PlanDate,"Past due",IF(INT($B1009)=PlanDate,"Due today",IF(AND(INDEX(Buffers!$L:$L,MATCH($H1009,Buffers!$AE:$AE,0))="Planned",$E1009&gt;0,INT($B1009)&lt;=PlanDate+ROUNDUP(IF(ISNUMBER(SpikeHorizon),SpikeHorizon,INDEX(Buffers!$D:$D,MATCH($H1009,Buffers!$AE:$AE,0))),0),$E1009&gt;=SpikePct*INDEX(Buffers!$P:$P,MATCH($H1009,Buffers!$AE:$AE,0))),"Spike","Not qualified"))))))</f>
        <v/>
      </c>
      <c r="G1009" s="8" t="str">
        <f aca="false">IF($A1009="","",IF(OR($F1009="Past due",$F1009="Due today",$F1009="Spike"),$C1009,0))</f>
        <v/>
      </c>
      <c r="H1009" s="8" t="str">
        <f aca="false">IF($A1009="","",SUBSTITUTE(SUBSTITUTE(SUBSTITUTE($A1009&amp;"","~","~~"),"*","~*"),"?","~?"))</f>
        <v/>
      </c>
    </row>
    <row r="1010" customFormat="false" ht="15" hidden="false" customHeight="false" outlineLevel="0" collapsed="false">
      <c r="A1010" s="11"/>
      <c r="B1010" s="6"/>
      <c r="C1010" s="11"/>
      <c r="D1010" s="11"/>
      <c r="E1010" s="8" t="str">
        <f aca="false">IF($A1010="","",SUMIFS($C:$C,$A:$A,$H1010,$B:$B,"&gt;="&amp;INT($B1010),$B:$B,"&lt;"&amp;(INT($B1010)+1)))</f>
        <v/>
      </c>
      <c r="F1010" s="19" t="str">
        <f aca="false">IF($A1010="","",IF(ISNA(MATCH($H1010,Buffers!$AE:$AE,0)),"Not on Buffers",IF(NOT(ISNUMBER($B1010)),"Needs a date",IF(INT($B1010)&lt;PlanDate,"Past due",IF(INT($B1010)=PlanDate,"Due today",IF(AND(INDEX(Buffers!$L:$L,MATCH($H1010,Buffers!$AE:$AE,0))="Planned",$E1010&gt;0,INT($B1010)&lt;=PlanDate+ROUNDUP(IF(ISNUMBER(SpikeHorizon),SpikeHorizon,INDEX(Buffers!$D:$D,MATCH($H1010,Buffers!$AE:$AE,0))),0),$E1010&gt;=SpikePct*INDEX(Buffers!$P:$P,MATCH($H1010,Buffers!$AE:$AE,0))),"Spike","Not qualified"))))))</f>
        <v/>
      </c>
      <c r="G1010" s="8" t="str">
        <f aca="false">IF($A1010="","",IF(OR($F1010="Past due",$F1010="Due today",$F1010="Spike"),$C1010,0))</f>
        <v/>
      </c>
      <c r="H1010" s="8" t="str">
        <f aca="false">IF($A1010="","",SUBSTITUTE(SUBSTITUTE(SUBSTITUTE($A1010&amp;"","~","~~"),"*","~*"),"?","~?"))</f>
        <v/>
      </c>
    </row>
    <row r="1011" customFormat="false" ht="15" hidden="false" customHeight="false" outlineLevel="0" collapsed="false">
      <c r="A1011" s="11"/>
      <c r="B1011" s="6"/>
      <c r="C1011" s="11"/>
      <c r="D1011" s="11"/>
      <c r="E1011" s="8" t="str">
        <f aca="false">IF($A1011="","",SUMIFS($C:$C,$A:$A,$H1011,$B:$B,"&gt;="&amp;INT($B1011),$B:$B,"&lt;"&amp;(INT($B1011)+1)))</f>
        <v/>
      </c>
      <c r="F1011" s="19" t="str">
        <f aca="false">IF($A1011="","",IF(ISNA(MATCH($H1011,Buffers!$AE:$AE,0)),"Not on Buffers",IF(NOT(ISNUMBER($B1011)),"Needs a date",IF(INT($B1011)&lt;PlanDate,"Past due",IF(INT($B1011)=PlanDate,"Due today",IF(AND(INDEX(Buffers!$L:$L,MATCH($H1011,Buffers!$AE:$AE,0))="Planned",$E1011&gt;0,INT($B1011)&lt;=PlanDate+ROUNDUP(IF(ISNUMBER(SpikeHorizon),SpikeHorizon,INDEX(Buffers!$D:$D,MATCH($H1011,Buffers!$AE:$AE,0))),0),$E1011&gt;=SpikePct*INDEX(Buffers!$P:$P,MATCH($H1011,Buffers!$AE:$AE,0))),"Spike","Not qualified"))))))</f>
        <v/>
      </c>
      <c r="G1011" s="8" t="str">
        <f aca="false">IF($A1011="","",IF(OR($F1011="Past due",$F1011="Due today",$F1011="Spike"),$C1011,0))</f>
        <v/>
      </c>
      <c r="H1011" s="8" t="str">
        <f aca="false">IF($A1011="","",SUBSTITUTE(SUBSTITUTE(SUBSTITUTE($A1011&amp;"","~","~~"),"*","~*"),"?","~?"))</f>
        <v/>
      </c>
    </row>
    <row r="1012" customFormat="false" ht="15" hidden="false" customHeight="false" outlineLevel="0" collapsed="false">
      <c r="A1012" s="11"/>
      <c r="B1012" s="6"/>
      <c r="C1012" s="11"/>
      <c r="D1012" s="11"/>
      <c r="E1012" s="8" t="str">
        <f aca="false">IF($A1012="","",SUMIFS($C:$C,$A:$A,$H1012,$B:$B,"&gt;="&amp;INT($B1012),$B:$B,"&lt;"&amp;(INT($B1012)+1)))</f>
        <v/>
      </c>
      <c r="F1012" s="19" t="str">
        <f aca="false">IF($A1012="","",IF(ISNA(MATCH($H1012,Buffers!$AE:$AE,0)),"Not on Buffers",IF(NOT(ISNUMBER($B1012)),"Needs a date",IF(INT($B1012)&lt;PlanDate,"Past due",IF(INT($B1012)=PlanDate,"Due today",IF(AND(INDEX(Buffers!$L:$L,MATCH($H1012,Buffers!$AE:$AE,0))="Planned",$E1012&gt;0,INT($B1012)&lt;=PlanDate+ROUNDUP(IF(ISNUMBER(SpikeHorizon),SpikeHorizon,INDEX(Buffers!$D:$D,MATCH($H1012,Buffers!$AE:$AE,0))),0),$E1012&gt;=SpikePct*INDEX(Buffers!$P:$P,MATCH($H1012,Buffers!$AE:$AE,0))),"Spike","Not qualified"))))))</f>
        <v/>
      </c>
      <c r="G1012" s="8" t="str">
        <f aca="false">IF($A1012="","",IF(OR($F1012="Past due",$F1012="Due today",$F1012="Spike"),$C1012,0))</f>
        <v/>
      </c>
      <c r="H1012" s="8" t="str">
        <f aca="false">IF($A1012="","",SUBSTITUTE(SUBSTITUTE(SUBSTITUTE($A1012&amp;"","~","~~"),"*","~*"),"?","~?"))</f>
        <v/>
      </c>
    </row>
    <row r="1013" customFormat="false" ht="15" hidden="false" customHeight="false" outlineLevel="0" collapsed="false">
      <c r="A1013" s="11"/>
      <c r="B1013" s="6"/>
      <c r="C1013" s="11"/>
      <c r="D1013" s="11"/>
      <c r="E1013" s="8" t="str">
        <f aca="false">IF($A1013="","",SUMIFS($C:$C,$A:$A,$H1013,$B:$B,"&gt;="&amp;INT($B1013),$B:$B,"&lt;"&amp;(INT($B1013)+1)))</f>
        <v/>
      </c>
      <c r="F1013" s="19" t="str">
        <f aca="false">IF($A1013="","",IF(ISNA(MATCH($H1013,Buffers!$AE:$AE,0)),"Not on Buffers",IF(NOT(ISNUMBER($B1013)),"Needs a date",IF(INT($B1013)&lt;PlanDate,"Past due",IF(INT($B1013)=PlanDate,"Due today",IF(AND(INDEX(Buffers!$L:$L,MATCH($H1013,Buffers!$AE:$AE,0))="Planned",$E1013&gt;0,INT($B1013)&lt;=PlanDate+ROUNDUP(IF(ISNUMBER(SpikeHorizon),SpikeHorizon,INDEX(Buffers!$D:$D,MATCH($H1013,Buffers!$AE:$AE,0))),0),$E1013&gt;=SpikePct*INDEX(Buffers!$P:$P,MATCH($H1013,Buffers!$AE:$AE,0))),"Spike","Not qualified"))))))</f>
        <v/>
      </c>
      <c r="G1013" s="8" t="str">
        <f aca="false">IF($A1013="","",IF(OR($F1013="Past due",$F1013="Due today",$F1013="Spike"),$C1013,0))</f>
        <v/>
      </c>
      <c r="H1013" s="8" t="str">
        <f aca="false">IF($A1013="","",SUBSTITUTE(SUBSTITUTE(SUBSTITUTE($A1013&amp;"","~","~~"),"*","~*"),"?","~?"))</f>
        <v/>
      </c>
    </row>
    <row r="1014" customFormat="false" ht="15" hidden="false" customHeight="false" outlineLevel="0" collapsed="false">
      <c r="A1014" s="11"/>
      <c r="B1014" s="6"/>
      <c r="C1014" s="11"/>
      <c r="D1014" s="11"/>
      <c r="E1014" s="8" t="str">
        <f aca="false">IF($A1014="","",SUMIFS($C:$C,$A:$A,$H1014,$B:$B,"&gt;="&amp;INT($B1014),$B:$B,"&lt;"&amp;(INT($B1014)+1)))</f>
        <v/>
      </c>
      <c r="F1014" s="19" t="str">
        <f aca="false">IF($A1014="","",IF(ISNA(MATCH($H1014,Buffers!$AE:$AE,0)),"Not on Buffers",IF(NOT(ISNUMBER($B1014)),"Needs a date",IF(INT($B1014)&lt;PlanDate,"Past due",IF(INT($B1014)=PlanDate,"Due today",IF(AND(INDEX(Buffers!$L:$L,MATCH($H1014,Buffers!$AE:$AE,0))="Planned",$E1014&gt;0,INT($B1014)&lt;=PlanDate+ROUNDUP(IF(ISNUMBER(SpikeHorizon),SpikeHorizon,INDEX(Buffers!$D:$D,MATCH($H1014,Buffers!$AE:$AE,0))),0),$E1014&gt;=SpikePct*INDEX(Buffers!$P:$P,MATCH($H1014,Buffers!$AE:$AE,0))),"Spike","Not qualified"))))))</f>
        <v/>
      </c>
      <c r="G1014" s="8" t="str">
        <f aca="false">IF($A1014="","",IF(OR($F1014="Past due",$F1014="Due today",$F1014="Spike"),$C1014,0))</f>
        <v/>
      </c>
      <c r="H1014" s="8" t="str">
        <f aca="false">IF($A1014="","",SUBSTITUTE(SUBSTITUTE(SUBSTITUTE($A1014&amp;"","~","~~"),"*","~*"),"?","~?"))</f>
        <v/>
      </c>
    </row>
    <row r="1015" customFormat="false" ht="15" hidden="false" customHeight="false" outlineLevel="0" collapsed="false">
      <c r="A1015" s="11"/>
      <c r="B1015" s="6"/>
      <c r="C1015" s="11"/>
      <c r="D1015" s="11"/>
      <c r="E1015" s="8" t="str">
        <f aca="false">IF($A1015="","",SUMIFS($C:$C,$A:$A,$H1015,$B:$B,"&gt;="&amp;INT($B1015),$B:$B,"&lt;"&amp;(INT($B1015)+1)))</f>
        <v/>
      </c>
      <c r="F1015" s="19" t="str">
        <f aca="false">IF($A1015="","",IF(ISNA(MATCH($H1015,Buffers!$AE:$AE,0)),"Not on Buffers",IF(NOT(ISNUMBER($B1015)),"Needs a date",IF(INT($B1015)&lt;PlanDate,"Past due",IF(INT($B1015)=PlanDate,"Due today",IF(AND(INDEX(Buffers!$L:$L,MATCH($H1015,Buffers!$AE:$AE,0))="Planned",$E1015&gt;0,INT($B1015)&lt;=PlanDate+ROUNDUP(IF(ISNUMBER(SpikeHorizon),SpikeHorizon,INDEX(Buffers!$D:$D,MATCH($H1015,Buffers!$AE:$AE,0))),0),$E1015&gt;=SpikePct*INDEX(Buffers!$P:$P,MATCH($H1015,Buffers!$AE:$AE,0))),"Spike","Not qualified"))))))</f>
        <v/>
      </c>
      <c r="G1015" s="8" t="str">
        <f aca="false">IF($A1015="","",IF(OR($F1015="Past due",$F1015="Due today",$F1015="Spike"),$C1015,0))</f>
        <v/>
      </c>
      <c r="H1015" s="8" t="str">
        <f aca="false">IF($A1015="","",SUBSTITUTE(SUBSTITUTE(SUBSTITUTE($A1015&amp;"","~","~~"),"*","~*"),"?","~?"))</f>
        <v/>
      </c>
    </row>
    <row r="1016" customFormat="false" ht="15" hidden="false" customHeight="false" outlineLevel="0" collapsed="false">
      <c r="A1016" s="11"/>
      <c r="B1016" s="6"/>
      <c r="C1016" s="11"/>
      <c r="D1016" s="11"/>
      <c r="E1016" s="8" t="str">
        <f aca="false">IF($A1016="","",SUMIFS($C:$C,$A:$A,$H1016,$B:$B,"&gt;="&amp;INT($B1016),$B:$B,"&lt;"&amp;(INT($B1016)+1)))</f>
        <v/>
      </c>
      <c r="F1016" s="19" t="str">
        <f aca="false">IF($A1016="","",IF(ISNA(MATCH($H1016,Buffers!$AE:$AE,0)),"Not on Buffers",IF(NOT(ISNUMBER($B1016)),"Needs a date",IF(INT($B1016)&lt;PlanDate,"Past due",IF(INT($B1016)=PlanDate,"Due today",IF(AND(INDEX(Buffers!$L:$L,MATCH($H1016,Buffers!$AE:$AE,0))="Planned",$E1016&gt;0,INT($B1016)&lt;=PlanDate+ROUNDUP(IF(ISNUMBER(SpikeHorizon),SpikeHorizon,INDEX(Buffers!$D:$D,MATCH($H1016,Buffers!$AE:$AE,0))),0),$E1016&gt;=SpikePct*INDEX(Buffers!$P:$P,MATCH($H1016,Buffers!$AE:$AE,0))),"Spike","Not qualified"))))))</f>
        <v/>
      </c>
      <c r="G1016" s="8" t="str">
        <f aca="false">IF($A1016="","",IF(OR($F1016="Past due",$F1016="Due today",$F1016="Spike"),$C1016,0))</f>
        <v/>
      </c>
      <c r="H1016" s="8" t="str">
        <f aca="false">IF($A1016="","",SUBSTITUTE(SUBSTITUTE(SUBSTITUTE($A1016&amp;"","~","~~"),"*","~*"),"?","~?"))</f>
        <v/>
      </c>
    </row>
    <row r="1017" customFormat="false" ht="15" hidden="false" customHeight="false" outlineLevel="0" collapsed="false">
      <c r="A1017" s="11"/>
      <c r="B1017" s="6"/>
      <c r="C1017" s="11"/>
      <c r="D1017" s="11"/>
      <c r="E1017" s="8" t="str">
        <f aca="false">IF($A1017="","",SUMIFS($C:$C,$A:$A,$H1017,$B:$B,"&gt;="&amp;INT($B1017),$B:$B,"&lt;"&amp;(INT($B1017)+1)))</f>
        <v/>
      </c>
      <c r="F1017" s="19" t="str">
        <f aca="false">IF($A1017="","",IF(ISNA(MATCH($H1017,Buffers!$AE:$AE,0)),"Not on Buffers",IF(NOT(ISNUMBER($B1017)),"Needs a date",IF(INT($B1017)&lt;PlanDate,"Past due",IF(INT($B1017)=PlanDate,"Due today",IF(AND(INDEX(Buffers!$L:$L,MATCH($H1017,Buffers!$AE:$AE,0))="Planned",$E1017&gt;0,INT($B1017)&lt;=PlanDate+ROUNDUP(IF(ISNUMBER(SpikeHorizon),SpikeHorizon,INDEX(Buffers!$D:$D,MATCH($H1017,Buffers!$AE:$AE,0))),0),$E1017&gt;=SpikePct*INDEX(Buffers!$P:$P,MATCH($H1017,Buffers!$AE:$AE,0))),"Spike","Not qualified"))))))</f>
        <v/>
      </c>
      <c r="G1017" s="8" t="str">
        <f aca="false">IF($A1017="","",IF(OR($F1017="Past due",$F1017="Due today",$F1017="Spike"),$C1017,0))</f>
        <v/>
      </c>
      <c r="H1017" s="8" t="str">
        <f aca="false">IF($A1017="","",SUBSTITUTE(SUBSTITUTE(SUBSTITUTE($A1017&amp;"","~","~~"),"*","~*"),"?","~?"))</f>
        <v/>
      </c>
    </row>
    <row r="1018" customFormat="false" ht="15" hidden="false" customHeight="false" outlineLevel="0" collapsed="false">
      <c r="A1018" s="11"/>
      <c r="B1018" s="6"/>
      <c r="C1018" s="11"/>
      <c r="D1018" s="11"/>
      <c r="E1018" s="8" t="str">
        <f aca="false">IF($A1018="","",SUMIFS($C:$C,$A:$A,$H1018,$B:$B,"&gt;="&amp;INT($B1018),$B:$B,"&lt;"&amp;(INT($B1018)+1)))</f>
        <v/>
      </c>
      <c r="F1018" s="19" t="str">
        <f aca="false">IF($A1018="","",IF(ISNA(MATCH($H1018,Buffers!$AE:$AE,0)),"Not on Buffers",IF(NOT(ISNUMBER($B1018)),"Needs a date",IF(INT($B1018)&lt;PlanDate,"Past due",IF(INT($B1018)=PlanDate,"Due today",IF(AND(INDEX(Buffers!$L:$L,MATCH($H1018,Buffers!$AE:$AE,0))="Planned",$E1018&gt;0,INT($B1018)&lt;=PlanDate+ROUNDUP(IF(ISNUMBER(SpikeHorizon),SpikeHorizon,INDEX(Buffers!$D:$D,MATCH($H1018,Buffers!$AE:$AE,0))),0),$E1018&gt;=SpikePct*INDEX(Buffers!$P:$P,MATCH($H1018,Buffers!$AE:$AE,0))),"Spike","Not qualified"))))))</f>
        <v/>
      </c>
      <c r="G1018" s="8" t="str">
        <f aca="false">IF($A1018="","",IF(OR($F1018="Past due",$F1018="Due today",$F1018="Spike"),$C1018,0))</f>
        <v/>
      </c>
      <c r="H1018" s="8" t="str">
        <f aca="false">IF($A1018="","",SUBSTITUTE(SUBSTITUTE(SUBSTITUTE($A1018&amp;"","~","~~"),"*","~*"),"?","~?"))</f>
        <v/>
      </c>
    </row>
    <row r="1019" customFormat="false" ht="15" hidden="false" customHeight="false" outlineLevel="0" collapsed="false">
      <c r="A1019" s="11"/>
      <c r="B1019" s="6"/>
      <c r="C1019" s="11"/>
      <c r="D1019" s="11"/>
      <c r="E1019" s="8" t="str">
        <f aca="false">IF($A1019="","",SUMIFS($C:$C,$A:$A,$H1019,$B:$B,"&gt;="&amp;INT($B1019),$B:$B,"&lt;"&amp;(INT($B1019)+1)))</f>
        <v/>
      </c>
      <c r="F1019" s="19" t="str">
        <f aca="false">IF($A1019="","",IF(ISNA(MATCH($H1019,Buffers!$AE:$AE,0)),"Not on Buffers",IF(NOT(ISNUMBER($B1019)),"Needs a date",IF(INT($B1019)&lt;PlanDate,"Past due",IF(INT($B1019)=PlanDate,"Due today",IF(AND(INDEX(Buffers!$L:$L,MATCH($H1019,Buffers!$AE:$AE,0))="Planned",$E1019&gt;0,INT($B1019)&lt;=PlanDate+ROUNDUP(IF(ISNUMBER(SpikeHorizon),SpikeHorizon,INDEX(Buffers!$D:$D,MATCH($H1019,Buffers!$AE:$AE,0))),0),$E1019&gt;=SpikePct*INDEX(Buffers!$P:$P,MATCH($H1019,Buffers!$AE:$AE,0))),"Spike","Not qualified"))))))</f>
        <v/>
      </c>
      <c r="G1019" s="8" t="str">
        <f aca="false">IF($A1019="","",IF(OR($F1019="Past due",$F1019="Due today",$F1019="Spike"),$C1019,0))</f>
        <v/>
      </c>
      <c r="H1019" s="8" t="str">
        <f aca="false">IF($A1019="","",SUBSTITUTE(SUBSTITUTE(SUBSTITUTE($A1019&amp;"","~","~~"),"*","~*"),"?","~?"))</f>
        <v/>
      </c>
    </row>
    <row r="1020" customFormat="false" ht="15" hidden="false" customHeight="false" outlineLevel="0" collapsed="false">
      <c r="A1020" s="11"/>
      <c r="B1020" s="6"/>
      <c r="C1020" s="11"/>
      <c r="D1020" s="11"/>
      <c r="E1020" s="8" t="str">
        <f aca="false">IF($A1020="","",SUMIFS($C:$C,$A:$A,$H1020,$B:$B,"&gt;="&amp;INT($B1020),$B:$B,"&lt;"&amp;(INT($B1020)+1)))</f>
        <v/>
      </c>
      <c r="F1020" s="19" t="str">
        <f aca="false">IF($A1020="","",IF(ISNA(MATCH($H1020,Buffers!$AE:$AE,0)),"Not on Buffers",IF(NOT(ISNUMBER($B1020)),"Needs a date",IF(INT($B1020)&lt;PlanDate,"Past due",IF(INT($B1020)=PlanDate,"Due today",IF(AND(INDEX(Buffers!$L:$L,MATCH($H1020,Buffers!$AE:$AE,0))="Planned",$E1020&gt;0,INT($B1020)&lt;=PlanDate+ROUNDUP(IF(ISNUMBER(SpikeHorizon),SpikeHorizon,INDEX(Buffers!$D:$D,MATCH($H1020,Buffers!$AE:$AE,0))),0),$E1020&gt;=SpikePct*INDEX(Buffers!$P:$P,MATCH($H1020,Buffers!$AE:$AE,0))),"Spike","Not qualified"))))))</f>
        <v/>
      </c>
      <c r="G1020" s="8" t="str">
        <f aca="false">IF($A1020="","",IF(OR($F1020="Past due",$F1020="Due today",$F1020="Spike"),$C1020,0))</f>
        <v/>
      </c>
      <c r="H1020" s="8" t="str">
        <f aca="false">IF($A1020="","",SUBSTITUTE(SUBSTITUTE(SUBSTITUTE($A1020&amp;"","~","~~"),"*","~*"),"?","~?"))</f>
        <v/>
      </c>
    </row>
    <row r="1021" customFormat="false" ht="15" hidden="false" customHeight="false" outlineLevel="0" collapsed="false">
      <c r="A1021" s="11"/>
      <c r="B1021" s="6"/>
      <c r="C1021" s="11"/>
      <c r="D1021" s="11"/>
      <c r="E1021" s="8" t="str">
        <f aca="false">IF($A1021="","",SUMIFS($C:$C,$A:$A,$H1021,$B:$B,"&gt;="&amp;INT($B1021),$B:$B,"&lt;"&amp;(INT($B1021)+1)))</f>
        <v/>
      </c>
      <c r="F1021" s="19" t="str">
        <f aca="false">IF($A1021="","",IF(ISNA(MATCH($H1021,Buffers!$AE:$AE,0)),"Not on Buffers",IF(NOT(ISNUMBER($B1021)),"Needs a date",IF(INT($B1021)&lt;PlanDate,"Past due",IF(INT($B1021)=PlanDate,"Due today",IF(AND(INDEX(Buffers!$L:$L,MATCH($H1021,Buffers!$AE:$AE,0))="Planned",$E1021&gt;0,INT($B1021)&lt;=PlanDate+ROUNDUP(IF(ISNUMBER(SpikeHorizon),SpikeHorizon,INDEX(Buffers!$D:$D,MATCH($H1021,Buffers!$AE:$AE,0))),0),$E1021&gt;=SpikePct*INDEX(Buffers!$P:$P,MATCH($H1021,Buffers!$AE:$AE,0))),"Spike","Not qualified"))))))</f>
        <v/>
      </c>
      <c r="G1021" s="8" t="str">
        <f aca="false">IF($A1021="","",IF(OR($F1021="Past due",$F1021="Due today",$F1021="Spike"),$C1021,0))</f>
        <v/>
      </c>
      <c r="H1021" s="8" t="str">
        <f aca="false">IF($A1021="","",SUBSTITUTE(SUBSTITUTE(SUBSTITUTE($A1021&amp;"","~","~~"),"*","~*"),"?","~?"))</f>
        <v/>
      </c>
    </row>
    <row r="1022" customFormat="false" ht="15" hidden="false" customHeight="false" outlineLevel="0" collapsed="false">
      <c r="A1022" s="11"/>
      <c r="B1022" s="6"/>
      <c r="C1022" s="11"/>
      <c r="D1022" s="11"/>
      <c r="E1022" s="8" t="str">
        <f aca="false">IF($A1022="","",SUMIFS($C:$C,$A:$A,$H1022,$B:$B,"&gt;="&amp;INT($B1022),$B:$B,"&lt;"&amp;(INT($B1022)+1)))</f>
        <v/>
      </c>
      <c r="F1022" s="19" t="str">
        <f aca="false">IF($A1022="","",IF(ISNA(MATCH($H1022,Buffers!$AE:$AE,0)),"Not on Buffers",IF(NOT(ISNUMBER($B1022)),"Needs a date",IF(INT($B1022)&lt;PlanDate,"Past due",IF(INT($B1022)=PlanDate,"Due today",IF(AND(INDEX(Buffers!$L:$L,MATCH($H1022,Buffers!$AE:$AE,0))="Planned",$E1022&gt;0,INT($B1022)&lt;=PlanDate+ROUNDUP(IF(ISNUMBER(SpikeHorizon),SpikeHorizon,INDEX(Buffers!$D:$D,MATCH($H1022,Buffers!$AE:$AE,0))),0),$E1022&gt;=SpikePct*INDEX(Buffers!$P:$P,MATCH($H1022,Buffers!$AE:$AE,0))),"Spike","Not qualified"))))))</f>
        <v/>
      </c>
      <c r="G1022" s="8" t="str">
        <f aca="false">IF($A1022="","",IF(OR($F1022="Past due",$F1022="Due today",$F1022="Spike"),$C1022,0))</f>
        <v/>
      </c>
      <c r="H1022" s="8" t="str">
        <f aca="false">IF($A1022="","",SUBSTITUTE(SUBSTITUTE(SUBSTITUTE($A1022&amp;"","~","~~"),"*","~*"),"?","~?"))</f>
        <v/>
      </c>
    </row>
    <row r="1023" customFormat="false" ht="15" hidden="false" customHeight="false" outlineLevel="0" collapsed="false">
      <c r="A1023" s="11"/>
      <c r="B1023" s="6"/>
      <c r="C1023" s="11"/>
      <c r="D1023" s="11"/>
      <c r="E1023" s="8" t="str">
        <f aca="false">IF($A1023="","",SUMIFS($C:$C,$A:$A,$H1023,$B:$B,"&gt;="&amp;INT($B1023),$B:$B,"&lt;"&amp;(INT($B1023)+1)))</f>
        <v/>
      </c>
      <c r="F1023" s="19" t="str">
        <f aca="false">IF($A1023="","",IF(ISNA(MATCH($H1023,Buffers!$AE:$AE,0)),"Not on Buffers",IF(NOT(ISNUMBER($B1023)),"Needs a date",IF(INT($B1023)&lt;PlanDate,"Past due",IF(INT($B1023)=PlanDate,"Due today",IF(AND(INDEX(Buffers!$L:$L,MATCH($H1023,Buffers!$AE:$AE,0))="Planned",$E1023&gt;0,INT($B1023)&lt;=PlanDate+ROUNDUP(IF(ISNUMBER(SpikeHorizon),SpikeHorizon,INDEX(Buffers!$D:$D,MATCH($H1023,Buffers!$AE:$AE,0))),0),$E1023&gt;=SpikePct*INDEX(Buffers!$P:$P,MATCH($H1023,Buffers!$AE:$AE,0))),"Spike","Not qualified"))))))</f>
        <v/>
      </c>
      <c r="G1023" s="8" t="str">
        <f aca="false">IF($A1023="","",IF(OR($F1023="Past due",$F1023="Due today",$F1023="Spike"),$C1023,0))</f>
        <v/>
      </c>
      <c r="H1023" s="8" t="str">
        <f aca="false">IF($A1023="","",SUBSTITUTE(SUBSTITUTE(SUBSTITUTE($A1023&amp;"","~","~~"),"*","~*"),"?","~?"))</f>
        <v/>
      </c>
    </row>
    <row r="1024" customFormat="false" ht="15" hidden="false" customHeight="false" outlineLevel="0" collapsed="false">
      <c r="A1024" s="11"/>
      <c r="B1024" s="6"/>
      <c r="C1024" s="11"/>
      <c r="D1024" s="11"/>
      <c r="E1024" s="8" t="str">
        <f aca="false">IF($A1024="","",SUMIFS($C:$C,$A:$A,$H1024,$B:$B,"&gt;="&amp;INT($B1024),$B:$B,"&lt;"&amp;(INT($B1024)+1)))</f>
        <v/>
      </c>
      <c r="F1024" s="19" t="str">
        <f aca="false">IF($A1024="","",IF(ISNA(MATCH($H1024,Buffers!$AE:$AE,0)),"Not on Buffers",IF(NOT(ISNUMBER($B1024)),"Needs a date",IF(INT($B1024)&lt;PlanDate,"Past due",IF(INT($B1024)=PlanDate,"Due today",IF(AND(INDEX(Buffers!$L:$L,MATCH($H1024,Buffers!$AE:$AE,0))="Planned",$E1024&gt;0,INT($B1024)&lt;=PlanDate+ROUNDUP(IF(ISNUMBER(SpikeHorizon),SpikeHorizon,INDEX(Buffers!$D:$D,MATCH($H1024,Buffers!$AE:$AE,0))),0),$E1024&gt;=SpikePct*INDEX(Buffers!$P:$P,MATCH($H1024,Buffers!$AE:$AE,0))),"Spike","Not qualified"))))))</f>
        <v/>
      </c>
      <c r="G1024" s="8" t="str">
        <f aca="false">IF($A1024="","",IF(OR($F1024="Past due",$F1024="Due today",$F1024="Spike"),$C1024,0))</f>
        <v/>
      </c>
      <c r="H1024" s="8" t="str">
        <f aca="false">IF($A1024="","",SUBSTITUTE(SUBSTITUTE(SUBSTITUTE($A1024&amp;"","~","~~"),"*","~*"),"?","~?"))</f>
        <v/>
      </c>
    </row>
    <row r="1025" customFormat="false" ht="15" hidden="false" customHeight="false" outlineLevel="0" collapsed="false">
      <c r="A1025" s="11"/>
      <c r="B1025" s="6"/>
      <c r="C1025" s="11"/>
      <c r="D1025" s="11"/>
      <c r="E1025" s="8" t="str">
        <f aca="false">IF($A1025="","",SUMIFS($C:$C,$A:$A,$H1025,$B:$B,"&gt;="&amp;INT($B1025),$B:$B,"&lt;"&amp;(INT($B1025)+1)))</f>
        <v/>
      </c>
      <c r="F1025" s="19" t="str">
        <f aca="false">IF($A1025="","",IF(ISNA(MATCH($H1025,Buffers!$AE:$AE,0)),"Not on Buffers",IF(NOT(ISNUMBER($B1025)),"Needs a date",IF(INT($B1025)&lt;PlanDate,"Past due",IF(INT($B1025)=PlanDate,"Due today",IF(AND(INDEX(Buffers!$L:$L,MATCH($H1025,Buffers!$AE:$AE,0))="Planned",$E1025&gt;0,INT($B1025)&lt;=PlanDate+ROUNDUP(IF(ISNUMBER(SpikeHorizon),SpikeHorizon,INDEX(Buffers!$D:$D,MATCH($H1025,Buffers!$AE:$AE,0))),0),$E1025&gt;=SpikePct*INDEX(Buffers!$P:$P,MATCH($H1025,Buffers!$AE:$AE,0))),"Spike","Not qualified"))))))</f>
        <v/>
      </c>
      <c r="G1025" s="8" t="str">
        <f aca="false">IF($A1025="","",IF(OR($F1025="Past due",$F1025="Due today",$F1025="Spike"),$C1025,0))</f>
        <v/>
      </c>
      <c r="H1025" s="8" t="str">
        <f aca="false">IF($A1025="","",SUBSTITUTE(SUBSTITUTE(SUBSTITUTE($A1025&amp;"","~","~~"),"*","~*"),"?","~?"))</f>
        <v/>
      </c>
    </row>
    <row r="1026" customFormat="false" ht="15" hidden="false" customHeight="false" outlineLevel="0" collapsed="false">
      <c r="A1026" s="11"/>
      <c r="B1026" s="6"/>
      <c r="C1026" s="11"/>
      <c r="D1026" s="11"/>
      <c r="E1026" s="8" t="str">
        <f aca="false">IF($A1026="","",SUMIFS($C:$C,$A:$A,$H1026,$B:$B,"&gt;="&amp;INT($B1026),$B:$B,"&lt;"&amp;(INT($B1026)+1)))</f>
        <v/>
      </c>
      <c r="F1026" s="19" t="str">
        <f aca="false">IF($A1026="","",IF(ISNA(MATCH($H1026,Buffers!$AE:$AE,0)),"Not on Buffers",IF(NOT(ISNUMBER($B1026)),"Needs a date",IF(INT($B1026)&lt;PlanDate,"Past due",IF(INT($B1026)=PlanDate,"Due today",IF(AND(INDEX(Buffers!$L:$L,MATCH($H1026,Buffers!$AE:$AE,0))="Planned",$E1026&gt;0,INT($B1026)&lt;=PlanDate+ROUNDUP(IF(ISNUMBER(SpikeHorizon),SpikeHorizon,INDEX(Buffers!$D:$D,MATCH($H1026,Buffers!$AE:$AE,0))),0),$E1026&gt;=SpikePct*INDEX(Buffers!$P:$P,MATCH($H1026,Buffers!$AE:$AE,0))),"Spike","Not qualified"))))))</f>
        <v/>
      </c>
      <c r="G1026" s="8" t="str">
        <f aca="false">IF($A1026="","",IF(OR($F1026="Past due",$F1026="Due today",$F1026="Spike"),$C1026,0))</f>
        <v/>
      </c>
      <c r="H1026" s="8" t="str">
        <f aca="false">IF($A1026="","",SUBSTITUTE(SUBSTITUTE(SUBSTITUTE($A1026&amp;"","~","~~"),"*","~*"),"?","~?"))</f>
        <v/>
      </c>
    </row>
    <row r="1027" customFormat="false" ht="15" hidden="false" customHeight="false" outlineLevel="0" collapsed="false">
      <c r="A1027" s="11"/>
      <c r="B1027" s="6"/>
      <c r="C1027" s="11"/>
      <c r="D1027" s="11"/>
      <c r="E1027" s="8" t="str">
        <f aca="false">IF($A1027="","",SUMIFS($C:$C,$A:$A,$H1027,$B:$B,"&gt;="&amp;INT($B1027),$B:$B,"&lt;"&amp;(INT($B1027)+1)))</f>
        <v/>
      </c>
      <c r="F1027" s="19" t="str">
        <f aca="false">IF($A1027="","",IF(ISNA(MATCH($H1027,Buffers!$AE:$AE,0)),"Not on Buffers",IF(NOT(ISNUMBER($B1027)),"Needs a date",IF(INT($B1027)&lt;PlanDate,"Past due",IF(INT($B1027)=PlanDate,"Due today",IF(AND(INDEX(Buffers!$L:$L,MATCH($H1027,Buffers!$AE:$AE,0))="Planned",$E1027&gt;0,INT($B1027)&lt;=PlanDate+ROUNDUP(IF(ISNUMBER(SpikeHorizon),SpikeHorizon,INDEX(Buffers!$D:$D,MATCH($H1027,Buffers!$AE:$AE,0))),0),$E1027&gt;=SpikePct*INDEX(Buffers!$P:$P,MATCH($H1027,Buffers!$AE:$AE,0))),"Spike","Not qualified"))))))</f>
        <v/>
      </c>
      <c r="G1027" s="8" t="str">
        <f aca="false">IF($A1027="","",IF(OR($F1027="Past due",$F1027="Due today",$F1027="Spike"),$C1027,0))</f>
        <v/>
      </c>
      <c r="H1027" s="8" t="str">
        <f aca="false">IF($A1027="","",SUBSTITUTE(SUBSTITUTE(SUBSTITUTE($A1027&amp;"","~","~~"),"*","~*"),"?","~?"))</f>
        <v/>
      </c>
    </row>
    <row r="1028" customFormat="false" ht="15" hidden="false" customHeight="false" outlineLevel="0" collapsed="false">
      <c r="A1028" s="11"/>
      <c r="B1028" s="6"/>
      <c r="C1028" s="11"/>
      <c r="D1028" s="11"/>
      <c r="E1028" s="8" t="str">
        <f aca="false">IF($A1028="","",SUMIFS($C:$C,$A:$A,$H1028,$B:$B,"&gt;="&amp;INT($B1028),$B:$B,"&lt;"&amp;(INT($B1028)+1)))</f>
        <v/>
      </c>
      <c r="F1028" s="19" t="str">
        <f aca="false">IF($A1028="","",IF(ISNA(MATCH($H1028,Buffers!$AE:$AE,0)),"Not on Buffers",IF(NOT(ISNUMBER($B1028)),"Needs a date",IF(INT($B1028)&lt;PlanDate,"Past due",IF(INT($B1028)=PlanDate,"Due today",IF(AND(INDEX(Buffers!$L:$L,MATCH($H1028,Buffers!$AE:$AE,0))="Planned",$E1028&gt;0,INT($B1028)&lt;=PlanDate+ROUNDUP(IF(ISNUMBER(SpikeHorizon),SpikeHorizon,INDEX(Buffers!$D:$D,MATCH($H1028,Buffers!$AE:$AE,0))),0),$E1028&gt;=SpikePct*INDEX(Buffers!$P:$P,MATCH($H1028,Buffers!$AE:$AE,0))),"Spike","Not qualified"))))))</f>
        <v/>
      </c>
      <c r="G1028" s="8" t="str">
        <f aca="false">IF($A1028="","",IF(OR($F1028="Past due",$F1028="Due today",$F1028="Spike"),$C1028,0))</f>
        <v/>
      </c>
      <c r="H1028" s="8" t="str">
        <f aca="false">IF($A1028="","",SUBSTITUTE(SUBSTITUTE(SUBSTITUTE($A1028&amp;"","~","~~"),"*","~*"),"?","~?"))</f>
        <v/>
      </c>
    </row>
    <row r="1029" customFormat="false" ht="15" hidden="false" customHeight="false" outlineLevel="0" collapsed="false">
      <c r="A1029" s="11"/>
      <c r="B1029" s="6"/>
      <c r="C1029" s="11"/>
      <c r="D1029" s="11"/>
      <c r="E1029" s="8" t="str">
        <f aca="false">IF($A1029="","",SUMIFS($C:$C,$A:$A,$H1029,$B:$B,"&gt;="&amp;INT($B1029),$B:$B,"&lt;"&amp;(INT($B1029)+1)))</f>
        <v/>
      </c>
      <c r="F1029" s="19" t="str">
        <f aca="false">IF($A1029="","",IF(ISNA(MATCH($H1029,Buffers!$AE:$AE,0)),"Not on Buffers",IF(NOT(ISNUMBER($B1029)),"Needs a date",IF(INT($B1029)&lt;PlanDate,"Past due",IF(INT($B1029)=PlanDate,"Due today",IF(AND(INDEX(Buffers!$L:$L,MATCH($H1029,Buffers!$AE:$AE,0))="Planned",$E1029&gt;0,INT($B1029)&lt;=PlanDate+ROUNDUP(IF(ISNUMBER(SpikeHorizon),SpikeHorizon,INDEX(Buffers!$D:$D,MATCH($H1029,Buffers!$AE:$AE,0))),0),$E1029&gt;=SpikePct*INDEX(Buffers!$P:$P,MATCH($H1029,Buffers!$AE:$AE,0))),"Spike","Not qualified"))))))</f>
        <v/>
      </c>
      <c r="G1029" s="8" t="str">
        <f aca="false">IF($A1029="","",IF(OR($F1029="Past due",$F1029="Due today",$F1029="Spike"),$C1029,0))</f>
        <v/>
      </c>
      <c r="H1029" s="8" t="str">
        <f aca="false">IF($A1029="","",SUBSTITUTE(SUBSTITUTE(SUBSTITUTE($A1029&amp;"","~","~~"),"*","~*"),"?","~?"))</f>
        <v/>
      </c>
    </row>
    <row r="1030" customFormat="false" ht="15" hidden="false" customHeight="false" outlineLevel="0" collapsed="false">
      <c r="A1030" s="11"/>
      <c r="B1030" s="6"/>
      <c r="C1030" s="11"/>
      <c r="D1030" s="11"/>
      <c r="E1030" s="8" t="str">
        <f aca="false">IF($A1030="","",SUMIFS($C:$C,$A:$A,$H1030,$B:$B,"&gt;="&amp;INT($B1030),$B:$B,"&lt;"&amp;(INT($B1030)+1)))</f>
        <v/>
      </c>
      <c r="F1030" s="19" t="str">
        <f aca="false">IF($A1030="","",IF(ISNA(MATCH($H1030,Buffers!$AE:$AE,0)),"Not on Buffers",IF(NOT(ISNUMBER($B1030)),"Needs a date",IF(INT($B1030)&lt;PlanDate,"Past due",IF(INT($B1030)=PlanDate,"Due today",IF(AND(INDEX(Buffers!$L:$L,MATCH($H1030,Buffers!$AE:$AE,0))="Planned",$E1030&gt;0,INT($B1030)&lt;=PlanDate+ROUNDUP(IF(ISNUMBER(SpikeHorizon),SpikeHorizon,INDEX(Buffers!$D:$D,MATCH($H1030,Buffers!$AE:$AE,0))),0),$E1030&gt;=SpikePct*INDEX(Buffers!$P:$P,MATCH($H1030,Buffers!$AE:$AE,0))),"Spike","Not qualified"))))))</f>
        <v/>
      </c>
      <c r="G1030" s="8" t="str">
        <f aca="false">IF($A1030="","",IF(OR($F1030="Past due",$F1030="Due today",$F1030="Spike"),$C1030,0))</f>
        <v/>
      </c>
      <c r="H1030" s="8" t="str">
        <f aca="false">IF($A1030="","",SUBSTITUTE(SUBSTITUTE(SUBSTITUTE($A1030&amp;"","~","~~"),"*","~*"),"?","~?"))</f>
        <v/>
      </c>
    </row>
    <row r="1031" customFormat="false" ht="15" hidden="false" customHeight="false" outlineLevel="0" collapsed="false">
      <c r="A1031" s="11"/>
      <c r="B1031" s="6"/>
      <c r="C1031" s="11"/>
      <c r="D1031" s="11"/>
      <c r="E1031" s="8" t="str">
        <f aca="false">IF($A1031="","",SUMIFS($C:$C,$A:$A,$H1031,$B:$B,"&gt;="&amp;INT($B1031),$B:$B,"&lt;"&amp;(INT($B1031)+1)))</f>
        <v/>
      </c>
      <c r="F1031" s="19" t="str">
        <f aca="false">IF($A1031="","",IF(ISNA(MATCH($H1031,Buffers!$AE:$AE,0)),"Not on Buffers",IF(NOT(ISNUMBER($B1031)),"Needs a date",IF(INT($B1031)&lt;PlanDate,"Past due",IF(INT($B1031)=PlanDate,"Due today",IF(AND(INDEX(Buffers!$L:$L,MATCH($H1031,Buffers!$AE:$AE,0))="Planned",$E1031&gt;0,INT($B1031)&lt;=PlanDate+ROUNDUP(IF(ISNUMBER(SpikeHorizon),SpikeHorizon,INDEX(Buffers!$D:$D,MATCH($H1031,Buffers!$AE:$AE,0))),0),$E1031&gt;=SpikePct*INDEX(Buffers!$P:$P,MATCH($H1031,Buffers!$AE:$AE,0))),"Spike","Not qualified"))))))</f>
        <v/>
      </c>
      <c r="G1031" s="8" t="str">
        <f aca="false">IF($A1031="","",IF(OR($F1031="Past due",$F1031="Due today",$F1031="Spike"),$C1031,0))</f>
        <v/>
      </c>
      <c r="H1031" s="8" t="str">
        <f aca="false">IF($A1031="","",SUBSTITUTE(SUBSTITUTE(SUBSTITUTE($A1031&amp;"","~","~~"),"*","~*"),"?","~?"))</f>
        <v/>
      </c>
    </row>
    <row r="1032" customFormat="false" ht="15" hidden="false" customHeight="false" outlineLevel="0" collapsed="false">
      <c r="A1032" s="11"/>
      <c r="B1032" s="6"/>
      <c r="C1032" s="11"/>
      <c r="D1032" s="11"/>
      <c r="E1032" s="8" t="str">
        <f aca="false">IF($A1032="","",SUMIFS($C:$C,$A:$A,$H1032,$B:$B,"&gt;="&amp;INT($B1032),$B:$B,"&lt;"&amp;(INT($B1032)+1)))</f>
        <v/>
      </c>
      <c r="F1032" s="19" t="str">
        <f aca="false">IF($A1032="","",IF(ISNA(MATCH($H1032,Buffers!$AE:$AE,0)),"Not on Buffers",IF(NOT(ISNUMBER($B1032)),"Needs a date",IF(INT($B1032)&lt;PlanDate,"Past due",IF(INT($B1032)=PlanDate,"Due today",IF(AND(INDEX(Buffers!$L:$L,MATCH($H1032,Buffers!$AE:$AE,0))="Planned",$E1032&gt;0,INT($B1032)&lt;=PlanDate+ROUNDUP(IF(ISNUMBER(SpikeHorizon),SpikeHorizon,INDEX(Buffers!$D:$D,MATCH($H1032,Buffers!$AE:$AE,0))),0),$E1032&gt;=SpikePct*INDEX(Buffers!$P:$P,MATCH($H1032,Buffers!$AE:$AE,0))),"Spike","Not qualified"))))))</f>
        <v/>
      </c>
      <c r="G1032" s="8" t="str">
        <f aca="false">IF($A1032="","",IF(OR($F1032="Past due",$F1032="Due today",$F1032="Spike"),$C1032,0))</f>
        <v/>
      </c>
      <c r="H1032" s="8" t="str">
        <f aca="false">IF($A1032="","",SUBSTITUTE(SUBSTITUTE(SUBSTITUTE($A1032&amp;"","~","~~"),"*","~*"),"?","~?"))</f>
        <v/>
      </c>
    </row>
    <row r="1033" customFormat="false" ht="15" hidden="false" customHeight="false" outlineLevel="0" collapsed="false">
      <c r="A1033" s="11"/>
      <c r="B1033" s="6"/>
      <c r="C1033" s="11"/>
      <c r="D1033" s="11"/>
      <c r="E1033" s="8" t="str">
        <f aca="false">IF($A1033="","",SUMIFS($C:$C,$A:$A,$H1033,$B:$B,"&gt;="&amp;INT($B1033),$B:$B,"&lt;"&amp;(INT($B1033)+1)))</f>
        <v/>
      </c>
      <c r="F1033" s="19" t="str">
        <f aca="false">IF($A1033="","",IF(ISNA(MATCH($H1033,Buffers!$AE:$AE,0)),"Not on Buffers",IF(NOT(ISNUMBER($B1033)),"Needs a date",IF(INT($B1033)&lt;PlanDate,"Past due",IF(INT($B1033)=PlanDate,"Due today",IF(AND(INDEX(Buffers!$L:$L,MATCH($H1033,Buffers!$AE:$AE,0))="Planned",$E1033&gt;0,INT($B1033)&lt;=PlanDate+ROUNDUP(IF(ISNUMBER(SpikeHorizon),SpikeHorizon,INDEX(Buffers!$D:$D,MATCH($H1033,Buffers!$AE:$AE,0))),0),$E1033&gt;=SpikePct*INDEX(Buffers!$P:$P,MATCH($H1033,Buffers!$AE:$AE,0))),"Spike","Not qualified"))))))</f>
        <v/>
      </c>
      <c r="G1033" s="8" t="str">
        <f aca="false">IF($A1033="","",IF(OR($F1033="Past due",$F1033="Due today",$F1033="Spike"),$C1033,0))</f>
        <v/>
      </c>
      <c r="H1033" s="8" t="str">
        <f aca="false">IF($A1033="","",SUBSTITUTE(SUBSTITUTE(SUBSTITUTE($A1033&amp;"","~","~~"),"*","~*"),"?","~?"))</f>
        <v/>
      </c>
    </row>
    <row r="1034" customFormat="false" ht="15" hidden="false" customHeight="false" outlineLevel="0" collapsed="false">
      <c r="A1034" s="11"/>
      <c r="B1034" s="6"/>
      <c r="C1034" s="11"/>
      <c r="D1034" s="11"/>
      <c r="E1034" s="8" t="str">
        <f aca="false">IF($A1034="","",SUMIFS($C:$C,$A:$A,$H1034,$B:$B,"&gt;="&amp;INT($B1034),$B:$B,"&lt;"&amp;(INT($B1034)+1)))</f>
        <v/>
      </c>
      <c r="F1034" s="19" t="str">
        <f aca="false">IF($A1034="","",IF(ISNA(MATCH($H1034,Buffers!$AE:$AE,0)),"Not on Buffers",IF(NOT(ISNUMBER($B1034)),"Needs a date",IF(INT($B1034)&lt;PlanDate,"Past due",IF(INT($B1034)=PlanDate,"Due today",IF(AND(INDEX(Buffers!$L:$L,MATCH($H1034,Buffers!$AE:$AE,0))="Planned",$E1034&gt;0,INT($B1034)&lt;=PlanDate+ROUNDUP(IF(ISNUMBER(SpikeHorizon),SpikeHorizon,INDEX(Buffers!$D:$D,MATCH($H1034,Buffers!$AE:$AE,0))),0),$E1034&gt;=SpikePct*INDEX(Buffers!$P:$P,MATCH($H1034,Buffers!$AE:$AE,0))),"Spike","Not qualified"))))))</f>
        <v/>
      </c>
      <c r="G1034" s="8" t="str">
        <f aca="false">IF($A1034="","",IF(OR($F1034="Past due",$F1034="Due today",$F1034="Spike"),$C1034,0))</f>
        <v/>
      </c>
      <c r="H1034" s="8" t="str">
        <f aca="false">IF($A1034="","",SUBSTITUTE(SUBSTITUTE(SUBSTITUTE($A1034&amp;"","~","~~"),"*","~*"),"?","~?"))</f>
        <v/>
      </c>
    </row>
    <row r="1035" customFormat="false" ht="15" hidden="false" customHeight="false" outlineLevel="0" collapsed="false">
      <c r="A1035" s="11"/>
      <c r="B1035" s="6"/>
      <c r="C1035" s="11"/>
      <c r="D1035" s="11"/>
      <c r="E1035" s="8" t="str">
        <f aca="false">IF($A1035="","",SUMIFS($C:$C,$A:$A,$H1035,$B:$B,"&gt;="&amp;INT($B1035),$B:$B,"&lt;"&amp;(INT($B1035)+1)))</f>
        <v/>
      </c>
      <c r="F1035" s="19" t="str">
        <f aca="false">IF($A1035="","",IF(ISNA(MATCH($H1035,Buffers!$AE:$AE,0)),"Not on Buffers",IF(NOT(ISNUMBER($B1035)),"Needs a date",IF(INT($B1035)&lt;PlanDate,"Past due",IF(INT($B1035)=PlanDate,"Due today",IF(AND(INDEX(Buffers!$L:$L,MATCH($H1035,Buffers!$AE:$AE,0))="Planned",$E1035&gt;0,INT($B1035)&lt;=PlanDate+ROUNDUP(IF(ISNUMBER(SpikeHorizon),SpikeHorizon,INDEX(Buffers!$D:$D,MATCH($H1035,Buffers!$AE:$AE,0))),0),$E1035&gt;=SpikePct*INDEX(Buffers!$P:$P,MATCH($H1035,Buffers!$AE:$AE,0))),"Spike","Not qualified"))))))</f>
        <v/>
      </c>
      <c r="G1035" s="8" t="str">
        <f aca="false">IF($A1035="","",IF(OR($F1035="Past due",$F1035="Due today",$F1035="Spike"),$C1035,0))</f>
        <v/>
      </c>
      <c r="H1035" s="8" t="str">
        <f aca="false">IF($A1035="","",SUBSTITUTE(SUBSTITUTE(SUBSTITUTE($A1035&amp;"","~","~~"),"*","~*"),"?","~?"))</f>
        <v/>
      </c>
    </row>
    <row r="1036" customFormat="false" ht="15" hidden="false" customHeight="false" outlineLevel="0" collapsed="false">
      <c r="A1036" s="11"/>
      <c r="B1036" s="6"/>
      <c r="C1036" s="11"/>
      <c r="D1036" s="11"/>
      <c r="E1036" s="8" t="str">
        <f aca="false">IF($A1036="","",SUMIFS($C:$C,$A:$A,$H1036,$B:$B,"&gt;="&amp;INT($B1036),$B:$B,"&lt;"&amp;(INT($B1036)+1)))</f>
        <v/>
      </c>
      <c r="F1036" s="19" t="str">
        <f aca="false">IF($A1036="","",IF(ISNA(MATCH($H1036,Buffers!$AE:$AE,0)),"Not on Buffers",IF(NOT(ISNUMBER($B1036)),"Needs a date",IF(INT($B1036)&lt;PlanDate,"Past due",IF(INT($B1036)=PlanDate,"Due today",IF(AND(INDEX(Buffers!$L:$L,MATCH($H1036,Buffers!$AE:$AE,0))="Planned",$E1036&gt;0,INT($B1036)&lt;=PlanDate+ROUNDUP(IF(ISNUMBER(SpikeHorizon),SpikeHorizon,INDEX(Buffers!$D:$D,MATCH($H1036,Buffers!$AE:$AE,0))),0),$E1036&gt;=SpikePct*INDEX(Buffers!$P:$P,MATCH($H1036,Buffers!$AE:$AE,0))),"Spike","Not qualified"))))))</f>
        <v/>
      </c>
      <c r="G1036" s="8" t="str">
        <f aca="false">IF($A1036="","",IF(OR($F1036="Past due",$F1036="Due today",$F1036="Spike"),$C1036,0))</f>
        <v/>
      </c>
      <c r="H1036" s="8" t="str">
        <f aca="false">IF($A1036="","",SUBSTITUTE(SUBSTITUTE(SUBSTITUTE($A1036&amp;"","~","~~"),"*","~*"),"?","~?"))</f>
        <v/>
      </c>
    </row>
    <row r="1037" customFormat="false" ht="15" hidden="false" customHeight="false" outlineLevel="0" collapsed="false">
      <c r="A1037" s="11"/>
      <c r="B1037" s="6"/>
      <c r="C1037" s="11"/>
      <c r="D1037" s="11"/>
      <c r="E1037" s="8" t="str">
        <f aca="false">IF($A1037="","",SUMIFS($C:$C,$A:$A,$H1037,$B:$B,"&gt;="&amp;INT($B1037),$B:$B,"&lt;"&amp;(INT($B1037)+1)))</f>
        <v/>
      </c>
      <c r="F1037" s="19" t="str">
        <f aca="false">IF($A1037="","",IF(ISNA(MATCH($H1037,Buffers!$AE:$AE,0)),"Not on Buffers",IF(NOT(ISNUMBER($B1037)),"Needs a date",IF(INT($B1037)&lt;PlanDate,"Past due",IF(INT($B1037)=PlanDate,"Due today",IF(AND(INDEX(Buffers!$L:$L,MATCH($H1037,Buffers!$AE:$AE,0))="Planned",$E1037&gt;0,INT($B1037)&lt;=PlanDate+ROUNDUP(IF(ISNUMBER(SpikeHorizon),SpikeHorizon,INDEX(Buffers!$D:$D,MATCH($H1037,Buffers!$AE:$AE,0))),0),$E1037&gt;=SpikePct*INDEX(Buffers!$P:$P,MATCH($H1037,Buffers!$AE:$AE,0))),"Spike","Not qualified"))))))</f>
        <v/>
      </c>
      <c r="G1037" s="8" t="str">
        <f aca="false">IF($A1037="","",IF(OR($F1037="Past due",$F1037="Due today",$F1037="Spike"),$C1037,0))</f>
        <v/>
      </c>
      <c r="H1037" s="8" t="str">
        <f aca="false">IF($A1037="","",SUBSTITUTE(SUBSTITUTE(SUBSTITUTE($A1037&amp;"","~","~~"),"*","~*"),"?","~?"))</f>
        <v/>
      </c>
    </row>
    <row r="1038" customFormat="false" ht="15" hidden="false" customHeight="false" outlineLevel="0" collapsed="false">
      <c r="A1038" s="11"/>
      <c r="B1038" s="6"/>
      <c r="C1038" s="11"/>
      <c r="D1038" s="11"/>
      <c r="E1038" s="8" t="str">
        <f aca="false">IF($A1038="","",SUMIFS($C:$C,$A:$A,$H1038,$B:$B,"&gt;="&amp;INT($B1038),$B:$B,"&lt;"&amp;(INT($B1038)+1)))</f>
        <v/>
      </c>
      <c r="F1038" s="19" t="str">
        <f aca="false">IF($A1038="","",IF(ISNA(MATCH($H1038,Buffers!$AE:$AE,0)),"Not on Buffers",IF(NOT(ISNUMBER($B1038)),"Needs a date",IF(INT($B1038)&lt;PlanDate,"Past due",IF(INT($B1038)=PlanDate,"Due today",IF(AND(INDEX(Buffers!$L:$L,MATCH($H1038,Buffers!$AE:$AE,0))="Planned",$E1038&gt;0,INT($B1038)&lt;=PlanDate+ROUNDUP(IF(ISNUMBER(SpikeHorizon),SpikeHorizon,INDEX(Buffers!$D:$D,MATCH($H1038,Buffers!$AE:$AE,0))),0),$E1038&gt;=SpikePct*INDEX(Buffers!$P:$P,MATCH($H1038,Buffers!$AE:$AE,0))),"Spike","Not qualified"))))))</f>
        <v/>
      </c>
      <c r="G1038" s="8" t="str">
        <f aca="false">IF($A1038="","",IF(OR($F1038="Past due",$F1038="Due today",$F1038="Spike"),$C1038,0))</f>
        <v/>
      </c>
      <c r="H1038" s="8" t="str">
        <f aca="false">IF($A1038="","",SUBSTITUTE(SUBSTITUTE(SUBSTITUTE($A1038&amp;"","~","~~"),"*","~*"),"?","~?"))</f>
        <v/>
      </c>
    </row>
    <row r="1039" customFormat="false" ht="15" hidden="false" customHeight="false" outlineLevel="0" collapsed="false">
      <c r="A1039" s="11"/>
      <c r="B1039" s="6"/>
      <c r="C1039" s="11"/>
      <c r="D1039" s="11"/>
      <c r="E1039" s="8" t="str">
        <f aca="false">IF($A1039="","",SUMIFS($C:$C,$A:$A,$H1039,$B:$B,"&gt;="&amp;INT($B1039),$B:$B,"&lt;"&amp;(INT($B1039)+1)))</f>
        <v/>
      </c>
      <c r="F1039" s="19" t="str">
        <f aca="false">IF($A1039="","",IF(ISNA(MATCH($H1039,Buffers!$AE:$AE,0)),"Not on Buffers",IF(NOT(ISNUMBER($B1039)),"Needs a date",IF(INT($B1039)&lt;PlanDate,"Past due",IF(INT($B1039)=PlanDate,"Due today",IF(AND(INDEX(Buffers!$L:$L,MATCH($H1039,Buffers!$AE:$AE,0))="Planned",$E1039&gt;0,INT($B1039)&lt;=PlanDate+ROUNDUP(IF(ISNUMBER(SpikeHorizon),SpikeHorizon,INDEX(Buffers!$D:$D,MATCH($H1039,Buffers!$AE:$AE,0))),0),$E1039&gt;=SpikePct*INDEX(Buffers!$P:$P,MATCH($H1039,Buffers!$AE:$AE,0))),"Spike","Not qualified"))))))</f>
        <v/>
      </c>
      <c r="G1039" s="8" t="str">
        <f aca="false">IF($A1039="","",IF(OR($F1039="Past due",$F1039="Due today",$F1039="Spike"),$C1039,0))</f>
        <v/>
      </c>
      <c r="H1039" s="8" t="str">
        <f aca="false">IF($A1039="","",SUBSTITUTE(SUBSTITUTE(SUBSTITUTE($A1039&amp;"","~","~~"),"*","~*"),"?","~?"))</f>
        <v/>
      </c>
    </row>
    <row r="1040" customFormat="false" ht="15" hidden="false" customHeight="false" outlineLevel="0" collapsed="false">
      <c r="A1040" s="11"/>
      <c r="B1040" s="6"/>
      <c r="C1040" s="11"/>
      <c r="D1040" s="11"/>
      <c r="E1040" s="8" t="str">
        <f aca="false">IF($A1040="","",SUMIFS($C:$C,$A:$A,$H1040,$B:$B,"&gt;="&amp;INT($B1040),$B:$B,"&lt;"&amp;(INT($B1040)+1)))</f>
        <v/>
      </c>
      <c r="F1040" s="19" t="str">
        <f aca="false">IF($A1040="","",IF(ISNA(MATCH($H1040,Buffers!$AE:$AE,0)),"Not on Buffers",IF(NOT(ISNUMBER($B1040)),"Needs a date",IF(INT($B1040)&lt;PlanDate,"Past due",IF(INT($B1040)=PlanDate,"Due today",IF(AND(INDEX(Buffers!$L:$L,MATCH($H1040,Buffers!$AE:$AE,0))="Planned",$E1040&gt;0,INT($B1040)&lt;=PlanDate+ROUNDUP(IF(ISNUMBER(SpikeHorizon),SpikeHorizon,INDEX(Buffers!$D:$D,MATCH($H1040,Buffers!$AE:$AE,0))),0),$E1040&gt;=SpikePct*INDEX(Buffers!$P:$P,MATCH($H1040,Buffers!$AE:$AE,0))),"Spike","Not qualified"))))))</f>
        <v/>
      </c>
      <c r="G1040" s="8" t="str">
        <f aca="false">IF($A1040="","",IF(OR($F1040="Past due",$F1040="Due today",$F1040="Spike"),$C1040,0))</f>
        <v/>
      </c>
      <c r="H1040" s="8" t="str">
        <f aca="false">IF($A1040="","",SUBSTITUTE(SUBSTITUTE(SUBSTITUTE($A1040&amp;"","~","~~"),"*","~*"),"?","~?"))</f>
        <v/>
      </c>
    </row>
    <row r="1041" customFormat="false" ht="15" hidden="false" customHeight="false" outlineLevel="0" collapsed="false">
      <c r="A1041" s="11"/>
      <c r="B1041" s="6"/>
      <c r="C1041" s="11"/>
      <c r="D1041" s="11"/>
      <c r="E1041" s="8" t="str">
        <f aca="false">IF($A1041="","",SUMIFS($C:$C,$A:$A,$H1041,$B:$B,"&gt;="&amp;INT($B1041),$B:$B,"&lt;"&amp;(INT($B1041)+1)))</f>
        <v/>
      </c>
      <c r="F1041" s="19" t="str">
        <f aca="false">IF($A1041="","",IF(ISNA(MATCH($H1041,Buffers!$AE:$AE,0)),"Not on Buffers",IF(NOT(ISNUMBER($B1041)),"Needs a date",IF(INT($B1041)&lt;PlanDate,"Past due",IF(INT($B1041)=PlanDate,"Due today",IF(AND(INDEX(Buffers!$L:$L,MATCH($H1041,Buffers!$AE:$AE,0))="Planned",$E1041&gt;0,INT($B1041)&lt;=PlanDate+ROUNDUP(IF(ISNUMBER(SpikeHorizon),SpikeHorizon,INDEX(Buffers!$D:$D,MATCH($H1041,Buffers!$AE:$AE,0))),0),$E1041&gt;=SpikePct*INDEX(Buffers!$P:$P,MATCH($H1041,Buffers!$AE:$AE,0))),"Spike","Not qualified"))))))</f>
        <v/>
      </c>
      <c r="G1041" s="8" t="str">
        <f aca="false">IF($A1041="","",IF(OR($F1041="Past due",$F1041="Due today",$F1041="Spike"),$C1041,0))</f>
        <v/>
      </c>
      <c r="H1041" s="8" t="str">
        <f aca="false">IF($A1041="","",SUBSTITUTE(SUBSTITUTE(SUBSTITUTE($A1041&amp;"","~","~~"),"*","~*"),"?","~?"))</f>
        <v/>
      </c>
    </row>
    <row r="1042" customFormat="false" ht="15" hidden="false" customHeight="false" outlineLevel="0" collapsed="false">
      <c r="A1042" s="11"/>
      <c r="B1042" s="6"/>
      <c r="C1042" s="11"/>
      <c r="D1042" s="11"/>
      <c r="E1042" s="8" t="str">
        <f aca="false">IF($A1042="","",SUMIFS($C:$C,$A:$A,$H1042,$B:$B,"&gt;="&amp;INT($B1042),$B:$B,"&lt;"&amp;(INT($B1042)+1)))</f>
        <v/>
      </c>
      <c r="F1042" s="19" t="str">
        <f aca="false">IF($A1042="","",IF(ISNA(MATCH($H1042,Buffers!$AE:$AE,0)),"Not on Buffers",IF(NOT(ISNUMBER($B1042)),"Needs a date",IF(INT($B1042)&lt;PlanDate,"Past due",IF(INT($B1042)=PlanDate,"Due today",IF(AND(INDEX(Buffers!$L:$L,MATCH($H1042,Buffers!$AE:$AE,0))="Planned",$E1042&gt;0,INT($B1042)&lt;=PlanDate+ROUNDUP(IF(ISNUMBER(SpikeHorizon),SpikeHorizon,INDEX(Buffers!$D:$D,MATCH($H1042,Buffers!$AE:$AE,0))),0),$E1042&gt;=SpikePct*INDEX(Buffers!$P:$P,MATCH($H1042,Buffers!$AE:$AE,0))),"Spike","Not qualified"))))))</f>
        <v/>
      </c>
      <c r="G1042" s="8" t="str">
        <f aca="false">IF($A1042="","",IF(OR($F1042="Past due",$F1042="Due today",$F1042="Spike"),$C1042,0))</f>
        <v/>
      </c>
      <c r="H1042" s="8" t="str">
        <f aca="false">IF($A1042="","",SUBSTITUTE(SUBSTITUTE(SUBSTITUTE($A1042&amp;"","~","~~"),"*","~*"),"?","~?"))</f>
        <v/>
      </c>
    </row>
    <row r="1043" customFormat="false" ht="15" hidden="false" customHeight="false" outlineLevel="0" collapsed="false">
      <c r="A1043" s="11"/>
      <c r="B1043" s="6"/>
      <c r="C1043" s="11"/>
      <c r="D1043" s="11"/>
      <c r="E1043" s="8" t="str">
        <f aca="false">IF($A1043="","",SUMIFS($C:$C,$A:$A,$H1043,$B:$B,"&gt;="&amp;INT($B1043),$B:$B,"&lt;"&amp;(INT($B1043)+1)))</f>
        <v/>
      </c>
      <c r="F1043" s="19" t="str">
        <f aca="false">IF($A1043="","",IF(ISNA(MATCH($H1043,Buffers!$AE:$AE,0)),"Not on Buffers",IF(NOT(ISNUMBER($B1043)),"Needs a date",IF(INT($B1043)&lt;PlanDate,"Past due",IF(INT($B1043)=PlanDate,"Due today",IF(AND(INDEX(Buffers!$L:$L,MATCH($H1043,Buffers!$AE:$AE,0))="Planned",$E1043&gt;0,INT($B1043)&lt;=PlanDate+ROUNDUP(IF(ISNUMBER(SpikeHorizon),SpikeHorizon,INDEX(Buffers!$D:$D,MATCH($H1043,Buffers!$AE:$AE,0))),0),$E1043&gt;=SpikePct*INDEX(Buffers!$P:$P,MATCH($H1043,Buffers!$AE:$AE,0))),"Spike","Not qualified"))))))</f>
        <v/>
      </c>
      <c r="G1043" s="8" t="str">
        <f aca="false">IF($A1043="","",IF(OR($F1043="Past due",$F1043="Due today",$F1043="Spike"),$C1043,0))</f>
        <v/>
      </c>
      <c r="H1043" s="8" t="str">
        <f aca="false">IF($A1043="","",SUBSTITUTE(SUBSTITUTE(SUBSTITUTE($A1043&amp;"","~","~~"),"*","~*"),"?","~?"))</f>
        <v/>
      </c>
    </row>
    <row r="1044" customFormat="false" ht="15" hidden="false" customHeight="false" outlineLevel="0" collapsed="false">
      <c r="A1044" s="11"/>
      <c r="B1044" s="6"/>
      <c r="C1044" s="11"/>
      <c r="D1044" s="11"/>
      <c r="E1044" s="8" t="str">
        <f aca="false">IF($A1044="","",SUMIFS($C:$C,$A:$A,$H1044,$B:$B,"&gt;="&amp;INT($B1044),$B:$B,"&lt;"&amp;(INT($B1044)+1)))</f>
        <v/>
      </c>
      <c r="F1044" s="19" t="str">
        <f aca="false">IF($A1044="","",IF(ISNA(MATCH($H1044,Buffers!$AE:$AE,0)),"Not on Buffers",IF(NOT(ISNUMBER($B1044)),"Needs a date",IF(INT($B1044)&lt;PlanDate,"Past due",IF(INT($B1044)=PlanDate,"Due today",IF(AND(INDEX(Buffers!$L:$L,MATCH($H1044,Buffers!$AE:$AE,0))="Planned",$E1044&gt;0,INT($B1044)&lt;=PlanDate+ROUNDUP(IF(ISNUMBER(SpikeHorizon),SpikeHorizon,INDEX(Buffers!$D:$D,MATCH($H1044,Buffers!$AE:$AE,0))),0),$E1044&gt;=SpikePct*INDEX(Buffers!$P:$P,MATCH($H1044,Buffers!$AE:$AE,0))),"Spike","Not qualified"))))))</f>
        <v/>
      </c>
      <c r="G1044" s="8" t="str">
        <f aca="false">IF($A1044="","",IF(OR($F1044="Past due",$F1044="Due today",$F1044="Spike"),$C1044,0))</f>
        <v/>
      </c>
      <c r="H1044" s="8" t="str">
        <f aca="false">IF($A1044="","",SUBSTITUTE(SUBSTITUTE(SUBSTITUTE($A1044&amp;"","~","~~"),"*","~*"),"?","~?"))</f>
        <v/>
      </c>
    </row>
    <row r="1045" customFormat="false" ht="15" hidden="false" customHeight="false" outlineLevel="0" collapsed="false">
      <c r="A1045" s="11"/>
      <c r="B1045" s="6"/>
      <c r="C1045" s="11"/>
      <c r="D1045" s="11"/>
      <c r="E1045" s="8" t="str">
        <f aca="false">IF($A1045="","",SUMIFS($C:$C,$A:$A,$H1045,$B:$B,"&gt;="&amp;INT($B1045),$B:$B,"&lt;"&amp;(INT($B1045)+1)))</f>
        <v/>
      </c>
      <c r="F1045" s="19" t="str">
        <f aca="false">IF($A1045="","",IF(ISNA(MATCH($H1045,Buffers!$AE:$AE,0)),"Not on Buffers",IF(NOT(ISNUMBER($B1045)),"Needs a date",IF(INT($B1045)&lt;PlanDate,"Past due",IF(INT($B1045)=PlanDate,"Due today",IF(AND(INDEX(Buffers!$L:$L,MATCH($H1045,Buffers!$AE:$AE,0))="Planned",$E1045&gt;0,INT($B1045)&lt;=PlanDate+ROUNDUP(IF(ISNUMBER(SpikeHorizon),SpikeHorizon,INDEX(Buffers!$D:$D,MATCH($H1045,Buffers!$AE:$AE,0))),0),$E1045&gt;=SpikePct*INDEX(Buffers!$P:$P,MATCH($H1045,Buffers!$AE:$AE,0))),"Spike","Not qualified"))))))</f>
        <v/>
      </c>
      <c r="G1045" s="8" t="str">
        <f aca="false">IF($A1045="","",IF(OR($F1045="Past due",$F1045="Due today",$F1045="Spike"),$C1045,0))</f>
        <v/>
      </c>
      <c r="H1045" s="8" t="str">
        <f aca="false">IF($A1045="","",SUBSTITUTE(SUBSTITUTE(SUBSTITUTE($A1045&amp;"","~","~~"),"*","~*"),"?","~?"))</f>
        <v/>
      </c>
    </row>
    <row r="1046" customFormat="false" ht="15" hidden="false" customHeight="false" outlineLevel="0" collapsed="false">
      <c r="A1046" s="11"/>
      <c r="B1046" s="6"/>
      <c r="C1046" s="11"/>
      <c r="D1046" s="11"/>
      <c r="E1046" s="8" t="str">
        <f aca="false">IF($A1046="","",SUMIFS($C:$C,$A:$A,$H1046,$B:$B,"&gt;="&amp;INT($B1046),$B:$B,"&lt;"&amp;(INT($B1046)+1)))</f>
        <v/>
      </c>
      <c r="F1046" s="19" t="str">
        <f aca="false">IF($A1046="","",IF(ISNA(MATCH($H1046,Buffers!$AE:$AE,0)),"Not on Buffers",IF(NOT(ISNUMBER($B1046)),"Needs a date",IF(INT($B1046)&lt;PlanDate,"Past due",IF(INT($B1046)=PlanDate,"Due today",IF(AND(INDEX(Buffers!$L:$L,MATCH($H1046,Buffers!$AE:$AE,0))="Planned",$E1046&gt;0,INT($B1046)&lt;=PlanDate+ROUNDUP(IF(ISNUMBER(SpikeHorizon),SpikeHorizon,INDEX(Buffers!$D:$D,MATCH($H1046,Buffers!$AE:$AE,0))),0),$E1046&gt;=SpikePct*INDEX(Buffers!$P:$P,MATCH($H1046,Buffers!$AE:$AE,0))),"Spike","Not qualified"))))))</f>
        <v/>
      </c>
      <c r="G1046" s="8" t="str">
        <f aca="false">IF($A1046="","",IF(OR($F1046="Past due",$F1046="Due today",$F1046="Spike"),$C1046,0))</f>
        <v/>
      </c>
      <c r="H1046" s="8" t="str">
        <f aca="false">IF($A1046="","",SUBSTITUTE(SUBSTITUTE(SUBSTITUTE($A1046&amp;"","~","~~"),"*","~*"),"?","~?"))</f>
        <v/>
      </c>
    </row>
    <row r="1047" customFormat="false" ht="15" hidden="false" customHeight="false" outlineLevel="0" collapsed="false">
      <c r="A1047" s="11"/>
      <c r="B1047" s="6"/>
      <c r="C1047" s="11"/>
      <c r="D1047" s="11"/>
      <c r="E1047" s="8" t="str">
        <f aca="false">IF($A1047="","",SUMIFS($C:$C,$A:$A,$H1047,$B:$B,"&gt;="&amp;INT($B1047),$B:$B,"&lt;"&amp;(INT($B1047)+1)))</f>
        <v/>
      </c>
      <c r="F1047" s="19" t="str">
        <f aca="false">IF($A1047="","",IF(ISNA(MATCH($H1047,Buffers!$AE:$AE,0)),"Not on Buffers",IF(NOT(ISNUMBER($B1047)),"Needs a date",IF(INT($B1047)&lt;PlanDate,"Past due",IF(INT($B1047)=PlanDate,"Due today",IF(AND(INDEX(Buffers!$L:$L,MATCH($H1047,Buffers!$AE:$AE,0))="Planned",$E1047&gt;0,INT($B1047)&lt;=PlanDate+ROUNDUP(IF(ISNUMBER(SpikeHorizon),SpikeHorizon,INDEX(Buffers!$D:$D,MATCH($H1047,Buffers!$AE:$AE,0))),0),$E1047&gt;=SpikePct*INDEX(Buffers!$P:$P,MATCH($H1047,Buffers!$AE:$AE,0))),"Spike","Not qualified"))))))</f>
        <v/>
      </c>
      <c r="G1047" s="8" t="str">
        <f aca="false">IF($A1047="","",IF(OR($F1047="Past due",$F1047="Due today",$F1047="Spike"),$C1047,0))</f>
        <v/>
      </c>
      <c r="H1047" s="8" t="str">
        <f aca="false">IF($A1047="","",SUBSTITUTE(SUBSTITUTE(SUBSTITUTE($A1047&amp;"","~","~~"),"*","~*"),"?","~?"))</f>
        <v/>
      </c>
    </row>
    <row r="1048" customFormat="false" ht="15" hidden="false" customHeight="false" outlineLevel="0" collapsed="false">
      <c r="A1048" s="11"/>
      <c r="B1048" s="6"/>
      <c r="C1048" s="11"/>
      <c r="D1048" s="11"/>
      <c r="E1048" s="8" t="str">
        <f aca="false">IF($A1048="","",SUMIFS($C:$C,$A:$A,$H1048,$B:$B,"&gt;="&amp;INT($B1048),$B:$B,"&lt;"&amp;(INT($B1048)+1)))</f>
        <v/>
      </c>
      <c r="F1048" s="19" t="str">
        <f aca="false">IF($A1048="","",IF(ISNA(MATCH($H1048,Buffers!$AE:$AE,0)),"Not on Buffers",IF(NOT(ISNUMBER($B1048)),"Needs a date",IF(INT($B1048)&lt;PlanDate,"Past due",IF(INT($B1048)=PlanDate,"Due today",IF(AND(INDEX(Buffers!$L:$L,MATCH($H1048,Buffers!$AE:$AE,0))="Planned",$E1048&gt;0,INT($B1048)&lt;=PlanDate+ROUNDUP(IF(ISNUMBER(SpikeHorizon),SpikeHorizon,INDEX(Buffers!$D:$D,MATCH($H1048,Buffers!$AE:$AE,0))),0),$E1048&gt;=SpikePct*INDEX(Buffers!$P:$P,MATCH($H1048,Buffers!$AE:$AE,0))),"Spike","Not qualified"))))))</f>
        <v/>
      </c>
      <c r="G1048" s="8" t="str">
        <f aca="false">IF($A1048="","",IF(OR($F1048="Past due",$F1048="Due today",$F1048="Spike"),$C1048,0))</f>
        <v/>
      </c>
      <c r="H1048" s="8" t="str">
        <f aca="false">IF($A1048="","",SUBSTITUTE(SUBSTITUTE(SUBSTITUTE($A1048&amp;"","~","~~"),"*","~*"),"?","~?"))</f>
        <v/>
      </c>
    </row>
    <row r="1049" customFormat="false" ht="15" hidden="false" customHeight="false" outlineLevel="0" collapsed="false">
      <c r="A1049" s="11"/>
      <c r="B1049" s="6"/>
      <c r="C1049" s="11"/>
      <c r="D1049" s="11"/>
      <c r="E1049" s="8" t="str">
        <f aca="false">IF($A1049="","",SUMIFS($C:$C,$A:$A,$H1049,$B:$B,"&gt;="&amp;INT($B1049),$B:$B,"&lt;"&amp;(INT($B1049)+1)))</f>
        <v/>
      </c>
      <c r="F1049" s="19" t="str">
        <f aca="false">IF($A1049="","",IF(ISNA(MATCH($H1049,Buffers!$AE:$AE,0)),"Not on Buffers",IF(NOT(ISNUMBER($B1049)),"Needs a date",IF(INT($B1049)&lt;PlanDate,"Past due",IF(INT($B1049)=PlanDate,"Due today",IF(AND(INDEX(Buffers!$L:$L,MATCH($H1049,Buffers!$AE:$AE,0))="Planned",$E1049&gt;0,INT($B1049)&lt;=PlanDate+ROUNDUP(IF(ISNUMBER(SpikeHorizon),SpikeHorizon,INDEX(Buffers!$D:$D,MATCH($H1049,Buffers!$AE:$AE,0))),0),$E1049&gt;=SpikePct*INDEX(Buffers!$P:$P,MATCH($H1049,Buffers!$AE:$AE,0))),"Spike","Not qualified"))))))</f>
        <v/>
      </c>
      <c r="G1049" s="8" t="str">
        <f aca="false">IF($A1049="","",IF(OR($F1049="Past due",$F1049="Due today",$F1049="Spike"),$C1049,0))</f>
        <v/>
      </c>
      <c r="H1049" s="8" t="str">
        <f aca="false">IF($A1049="","",SUBSTITUTE(SUBSTITUTE(SUBSTITUTE($A1049&amp;"","~","~~"),"*","~*"),"?","~?"))</f>
        <v/>
      </c>
    </row>
    <row r="1050" customFormat="false" ht="15" hidden="false" customHeight="false" outlineLevel="0" collapsed="false">
      <c r="A1050" s="11"/>
      <c r="B1050" s="6"/>
      <c r="C1050" s="11"/>
      <c r="D1050" s="11"/>
      <c r="E1050" s="8" t="str">
        <f aca="false">IF($A1050="","",SUMIFS($C:$C,$A:$A,$H1050,$B:$B,"&gt;="&amp;INT($B1050),$B:$B,"&lt;"&amp;(INT($B1050)+1)))</f>
        <v/>
      </c>
      <c r="F1050" s="19" t="str">
        <f aca="false">IF($A1050="","",IF(ISNA(MATCH($H1050,Buffers!$AE:$AE,0)),"Not on Buffers",IF(NOT(ISNUMBER($B1050)),"Needs a date",IF(INT($B1050)&lt;PlanDate,"Past due",IF(INT($B1050)=PlanDate,"Due today",IF(AND(INDEX(Buffers!$L:$L,MATCH($H1050,Buffers!$AE:$AE,0))="Planned",$E1050&gt;0,INT($B1050)&lt;=PlanDate+ROUNDUP(IF(ISNUMBER(SpikeHorizon),SpikeHorizon,INDEX(Buffers!$D:$D,MATCH($H1050,Buffers!$AE:$AE,0))),0),$E1050&gt;=SpikePct*INDEX(Buffers!$P:$P,MATCH($H1050,Buffers!$AE:$AE,0))),"Spike","Not qualified"))))))</f>
        <v/>
      </c>
      <c r="G1050" s="8" t="str">
        <f aca="false">IF($A1050="","",IF(OR($F1050="Past due",$F1050="Due today",$F1050="Spike"),$C1050,0))</f>
        <v/>
      </c>
      <c r="H1050" s="8" t="str">
        <f aca="false">IF($A1050="","",SUBSTITUTE(SUBSTITUTE(SUBSTITUTE($A1050&amp;"","~","~~"),"*","~*"),"?","~?"))</f>
        <v/>
      </c>
    </row>
    <row r="1051" customFormat="false" ht="15" hidden="false" customHeight="false" outlineLevel="0" collapsed="false">
      <c r="A1051" s="11"/>
      <c r="B1051" s="6"/>
      <c r="C1051" s="11"/>
      <c r="D1051" s="11"/>
      <c r="E1051" s="8" t="str">
        <f aca="false">IF($A1051="","",SUMIFS($C:$C,$A:$A,$H1051,$B:$B,"&gt;="&amp;INT($B1051),$B:$B,"&lt;"&amp;(INT($B1051)+1)))</f>
        <v/>
      </c>
      <c r="F1051" s="19" t="str">
        <f aca="false">IF($A1051="","",IF(ISNA(MATCH($H1051,Buffers!$AE:$AE,0)),"Not on Buffers",IF(NOT(ISNUMBER($B1051)),"Needs a date",IF(INT($B1051)&lt;PlanDate,"Past due",IF(INT($B1051)=PlanDate,"Due today",IF(AND(INDEX(Buffers!$L:$L,MATCH($H1051,Buffers!$AE:$AE,0))="Planned",$E1051&gt;0,INT($B1051)&lt;=PlanDate+ROUNDUP(IF(ISNUMBER(SpikeHorizon),SpikeHorizon,INDEX(Buffers!$D:$D,MATCH($H1051,Buffers!$AE:$AE,0))),0),$E1051&gt;=SpikePct*INDEX(Buffers!$P:$P,MATCH($H1051,Buffers!$AE:$AE,0))),"Spike","Not qualified"))))))</f>
        <v/>
      </c>
      <c r="G1051" s="8" t="str">
        <f aca="false">IF($A1051="","",IF(OR($F1051="Past due",$F1051="Due today",$F1051="Spike"),$C1051,0))</f>
        <v/>
      </c>
      <c r="H1051" s="8" t="str">
        <f aca="false">IF($A1051="","",SUBSTITUTE(SUBSTITUTE(SUBSTITUTE($A1051&amp;"","~","~~"),"*","~*"),"?","~?"))</f>
        <v/>
      </c>
    </row>
    <row r="1052" customFormat="false" ht="15" hidden="false" customHeight="false" outlineLevel="0" collapsed="false">
      <c r="A1052" s="11"/>
      <c r="B1052" s="6"/>
      <c r="C1052" s="11"/>
      <c r="D1052" s="11"/>
      <c r="E1052" s="8" t="str">
        <f aca="false">IF($A1052="","",SUMIFS($C:$C,$A:$A,$H1052,$B:$B,"&gt;="&amp;INT($B1052),$B:$B,"&lt;"&amp;(INT($B1052)+1)))</f>
        <v/>
      </c>
      <c r="F1052" s="19" t="str">
        <f aca="false">IF($A1052="","",IF(ISNA(MATCH($H1052,Buffers!$AE:$AE,0)),"Not on Buffers",IF(NOT(ISNUMBER($B1052)),"Needs a date",IF(INT($B1052)&lt;PlanDate,"Past due",IF(INT($B1052)=PlanDate,"Due today",IF(AND(INDEX(Buffers!$L:$L,MATCH($H1052,Buffers!$AE:$AE,0))="Planned",$E1052&gt;0,INT($B1052)&lt;=PlanDate+ROUNDUP(IF(ISNUMBER(SpikeHorizon),SpikeHorizon,INDEX(Buffers!$D:$D,MATCH($H1052,Buffers!$AE:$AE,0))),0),$E1052&gt;=SpikePct*INDEX(Buffers!$P:$P,MATCH($H1052,Buffers!$AE:$AE,0))),"Spike","Not qualified"))))))</f>
        <v/>
      </c>
      <c r="G1052" s="8" t="str">
        <f aca="false">IF($A1052="","",IF(OR($F1052="Past due",$F1052="Due today",$F1052="Spike"),$C1052,0))</f>
        <v/>
      </c>
      <c r="H1052" s="8" t="str">
        <f aca="false">IF($A1052="","",SUBSTITUTE(SUBSTITUTE(SUBSTITUTE($A1052&amp;"","~","~~"),"*","~*"),"?","~?"))</f>
        <v/>
      </c>
    </row>
    <row r="1053" customFormat="false" ht="15" hidden="false" customHeight="false" outlineLevel="0" collapsed="false">
      <c r="A1053" s="11"/>
      <c r="B1053" s="6"/>
      <c r="C1053" s="11"/>
      <c r="D1053" s="11"/>
      <c r="E1053" s="8" t="str">
        <f aca="false">IF($A1053="","",SUMIFS($C:$C,$A:$A,$H1053,$B:$B,"&gt;="&amp;INT($B1053),$B:$B,"&lt;"&amp;(INT($B1053)+1)))</f>
        <v/>
      </c>
      <c r="F1053" s="19" t="str">
        <f aca="false">IF($A1053="","",IF(ISNA(MATCH($H1053,Buffers!$AE:$AE,0)),"Not on Buffers",IF(NOT(ISNUMBER($B1053)),"Needs a date",IF(INT($B1053)&lt;PlanDate,"Past due",IF(INT($B1053)=PlanDate,"Due today",IF(AND(INDEX(Buffers!$L:$L,MATCH($H1053,Buffers!$AE:$AE,0))="Planned",$E1053&gt;0,INT($B1053)&lt;=PlanDate+ROUNDUP(IF(ISNUMBER(SpikeHorizon),SpikeHorizon,INDEX(Buffers!$D:$D,MATCH($H1053,Buffers!$AE:$AE,0))),0),$E1053&gt;=SpikePct*INDEX(Buffers!$P:$P,MATCH($H1053,Buffers!$AE:$AE,0))),"Spike","Not qualified"))))))</f>
        <v/>
      </c>
      <c r="G1053" s="8" t="str">
        <f aca="false">IF($A1053="","",IF(OR($F1053="Past due",$F1053="Due today",$F1053="Spike"),$C1053,0))</f>
        <v/>
      </c>
      <c r="H1053" s="8" t="str">
        <f aca="false">IF($A1053="","",SUBSTITUTE(SUBSTITUTE(SUBSTITUTE($A1053&amp;"","~","~~"),"*","~*"),"?","~?"))</f>
        <v/>
      </c>
    </row>
    <row r="1054" customFormat="false" ht="15" hidden="false" customHeight="false" outlineLevel="0" collapsed="false">
      <c r="A1054" s="11"/>
      <c r="B1054" s="6"/>
      <c r="C1054" s="11"/>
      <c r="D1054" s="11"/>
      <c r="E1054" s="8" t="str">
        <f aca="false">IF($A1054="","",SUMIFS($C:$C,$A:$A,$H1054,$B:$B,"&gt;="&amp;INT($B1054),$B:$B,"&lt;"&amp;(INT($B1054)+1)))</f>
        <v/>
      </c>
      <c r="F1054" s="19" t="str">
        <f aca="false">IF($A1054="","",IF(ISNA(MATCH($H1054,Buffers!$AE:$AE,0)),"Not on Buffers",IF(NOT(ISNUMBER($B1054)),"Needs a date",IF(INT($B1054)&lt;PlanDate,"Past due",IF(INT($B1054)=PlanDate,"Due today",IF(AND(INDEX(Buffers!$L:$L,MATCH($H1054,Buffers!$AE:$AE,0))="Planned",$E1054&gt;0,INT($B1054)&lt;=PlanDate+ROUNDUP(IF(ISNUMBER(SpikeHorizon),SpikeHorizon,INDEX(Buffers!$D:$D,MATCH($H1054,Buffers!$AE:$AE,0))),0),$E1054&gt;=SpikePct*INDEX(Buffers!$P:$P,MATCH($H1054,Buffers!$AE:$AE,0))),"Spike","Not qualified"))))))</f>
        <v/>
      </c>
      <c r="G1054" s="8" t="str">
        <f aca="false">IF($A1054="","",IF(OR($F1054="Past due",$F1054="Due today",$F1054="Spike"),$C1054,0))</f>
        <v/>
      </c>
      <c r="H1054" s="8" t="str">
        <f aca="false">IF($A1054="","",SUBSTITUTE(SUBSTITUTE(SUBSTITUTE($A1054&amp;"","~","~~"),"*","~*"),"?","~?"))</f>
        <v/>
      </c>
    </row>
    <row r="1055" customFormat="false" ht="15" hidden="false" customHeight="false" outlineLevel="0" collapsed="false">
      <c r="A1055" s="11"/>
      <c r="B1055" s="6"/>
      <c r="C1055" s="11"/>
      <c r="D1055" s="11"/>
      <c r="E1055" s="8" t="str">
        <f aca="false">IF($A1055="","",SUMIFS($C:$C,$A:$A,$H1055,$B:$B,"&gt;="&amp;INT($B1055),$B:$B,"&lt;"&amp;(INT($B1055)+1)))</f>
        <v/>
      </c>
      <c r="F1055" s="19" t="str">
        <f aca="false">IF($A1055="","",IF(ISNA(MATCH($H1055,Buffers!$AE:$AE,0)),"Not on Buffers",IF(NOT(ISNUMBER($B1055)),"Needs a date",IF(INT($B1055)&lt;PlanDate,"Past due",IF(INT($B1055)=PlanDate,"Due today",IF(AND(INDEX(Buffers!$L:$L,MATCH($H1055,Buffers!$AE:$AE,0))="Planned",$E1055&gt;0,INT($B1055)&lt;=PlanDate+ROUNDUP(IF(ISNUMBER(SpikeHorizon),SpikeHorizon,INDEX(Buffers!$D:$D,MATCH($H1055,Buffers!$AE:$AE,0))),0),$E1055&gt;=SpikePct*INDEX(Buffers!$P:$P,MATCH($H1055,Buffers!$AE:$AE,0))),"Spike","Not qualified"))))))</f>
        <v/>
      </c>
      <c r="G1055" s="8" t="str">
        <f aca="false">IF($A1055="","",IF(OR($F1055="Past due",$F1055="Due today",$F1055="Spike"),$C1055,0))</f>
        <v/>
      </c>
      <c r="H1055" s="8" t="str">
        <f aca="false">IF($A1055="","",SUBSTITUTE(SUBSTITUTE(SUBSTITUTE($A1055&amp;"","~","~~"),"*","~*"),"?","~?"))</f>
        <v/>
      </c>
    </row>
    <row r="1056" customFormat="false" ht="15" hidden="false" customHeight="false" outlineLevel="0" collapsed="false">
      <c r="A1056" s="11"/>
      <c r="B1056" s="6"/>
      <c r="C1056" s="11"/>
      <c r="D1056" s="11"/>
      <c r="E1056" s="8" t="str">
        <f aca="false">IF($A1056="","",SUMIFS($C:$C,$A:$A,$H1056,$B:$B,"&gt;="&amp;INT($B1056),$B:$B,"&lt;"&amp;(INT($B1056)+1)))</f>
        <v/>
      </c>
      <c r="F1056" s="19" t="str">
        <f aca="false">IF($A1056="","",IF(ISNA(MATCH($H1056,Buffers!$AE:$AE,0)),"Not on Buffers",IF(NOT(ISNUMBER($B1056)),"Needs a date",IF(INT($B1056)&lt;PlanDate,"Past due",IF(INT($B1056)=PlanDate,"Due today",IF(AND(INDEX(Buffers!$L:$L,MATCH($H1056,Buffers!$AE:$AE,0))="Planned",$E1056&gt;0,INT($B1056)&lt;=PlanDate+ROUNDUP(IF(ISNUMBER(SpikeHorizon),SpikeHorizon,INDEX(Buffers!$D:$D,MATCH($H1056,Buffers!$AE:$AE,0))),0),$E1056&gt;=SpikePct*INDEX(Buffers!$P:$P,MATCH($H1056,Buffers!$AE:$AE,0))),"Spike","Not qualified"))))))</f>
        <v/>
      </c>
      <c r="G1056" s="8" t="str">
        <f aca="false">IF($A1056="","",IF(OR($F1056="Past due",$F1056="Due today",$F1056="Spike"),$C1056,0))</f>
        <v/>
      </c>
      <c r="H1056" s="8" t="str">
        <f aca="false">IF($A1056="","",SUBSTITUTE(SUBSTITUTE(SUBSTITUTE($A1056&amp;"","~","~~"),"*","~*"),"?","~?"))</f>
        <v/>
      </c>
    </row>
    <row r="1057" customFormat="false" ht="15" hidden="false" customHeight="false" outlineLevel="0" collapsed="false">
      <c r="A1057" s="11"/>
      <c r="B1057" s="6"/>
      <c r="C1057" s="11"/>
      <c r="D1057" s="11"/>
      <c r="E1057" s="8" t="str">
        <f aca="false">IF($A1057="","",SUMIFS($C:$C,$A:$A,$H1057,$B:$B,"&gt;="&amp;INT($B1057),$B:$B,"&lt;"&amp;(INT($B1057)+1)))</f>
        <v/>
      </c>
      <c r="F1057" s="19" t="str">
        <f aca="false">IF($A1057="","",IF(ISNA(MATCH($H1057,Buffers!$AE:$AE,0)),"Not on Buffers",IF(NOT(ISNUMBER($B1057)),"Needs a date",IF(INT($B1057)&lt;PlanDate,"Past due",IF(INT($B1057)=PlanDate,"Due today",IF(AND(INDEX(Buffers!$L:$L,MATCH($H1057,Buffers!$AE:$AE,0))="Planned",$E1057&gt;0,INT($B1057)&lt;=PlanDate+ROUNDUP(IF(ISNUMBER(SpikeHorizon),SpikeHorizon,INDEX(Buffers!$D:$D,MATCH($H1057,Buffers!$AE:$AE,0))),0),$E1057&gt;=SpikePct*INDEX(Buffers!$P:$P,MATCH($H1057,Buffers!$AE:$AE,0))),"Spike","Not qualified"))))))</f>
        <v/>
      </c>
      <c r="G1057" s="8" t="str">
        <f aca="false">IF($A1057="","",IF(OR($F1057="Past due",$F1057="Due today",$F1057="Spike"),$C1057,0))</f>
        <v/>
      </c>
      <c r="H1057" s="8" t="str">
        <f aca="false">IF($A1057="","",SUBSTITUTE(SUBSTITUTE(SUBSTITUTE($A1057&amp;"","~","~~"),"*","~*"),"?","~?"))</f>
        <v/>
      </c>
    </row>
    <row r="1058" customFormat="false" ht="15" hidden="false" customHeight="false" outlineLevel="0" collapsed="false">
      <c r="A1058" s="11"/>
      <c r="B1058" s="6"/>
      <c r="C1058" s="11"/>
      <c r="D1058" s="11"/>
      <c r="E1058" s="8" t="str">
        <f aca="false">IF($A1058="","",SUMIFS($C:$C,$A:$A,$H1058,$B:$B,"&gt;="&amp;INT($B1058),$B:$B,"&lt;"&amp;(INT($B1058)+1)))</f>
        <v/>
      </c>
      <c r="F1058" s="19" t="str">
        <f aca="false">IF($A1058="","",IF(ISNA(MATCH($H1058,Buffers!$AE:$AE,0)),"Not on Buffers",IF(NOT(ISNUMBER($B1058)),"Needs a date",IF(INT($B1058)&lt;PlanDate,"Past due",IF(INT($B1058)=PlanDate,"Due today",IF(AND(INDEX(Buffers!$L:$L,MATCH($H1058,Buffers!$AE:$AE,0))="Planned",$E1058&gt;0,INT($B1058)&lt;=PlanDate+ROUNDUP(IF(ISNUMBER(SpikeHorizon),SpikeHorizon,INDEX(Buffers!$D:$D,MATCH($H1058,Buffers!$AE:$AE,0))),0),$E1058&gt;=SpikePct*INDEX(Buffers!$P:$P,MATCH($H1058,Buffers!$AE:$AE,0))),"Spike","Not qualified"))))))</f>
        <v/>
      </c>
      <c r="G1058" s="8" t="str">
        <f aca="false">IF($A1058="","",IF(OR($F1058="Past due",$F1058="Due today",$F1058="Spike"),$C1058,0))</f>
        <v/>
      </c>
      <c r="H1058" s="8" t="str">
        <f aca="false">IF($A1058="","",SUBSTITUTE(SUBSTITUTE(SUBSTITUTE($A1058&amp;"","~","~~"),"*","~*"),"?","~?"))</f>
        <v/>
      </c>
    </row>
    <row r="1059" customFormat="false" ht="15" hidden="false" customHeight="false" outlineLevel="0" collapsed="false">
      <c r="A1059" s="11"/>
      <c r="B1059" s="6"/>
      <c r="C1059" s="11"/>
      <c r="D1059" s="11"/>
      <c r="E1059" s="8" t="str">
        <f aca="false">IF($A1059="","",SUMIFS($C:$C,$A:$A,$H1059,$B:$B,"&gt;="&amp;INT($B1059),$B:$B,"&lt;"&amp;(INT($B1059)+1)))</f>
        <v/>
      </c>
      <c r="F1059" s="19" t="str">
        <f aca="false">IF($A1059="","",IF(ISNA(MATCH($H1059,Buffers!$AE:$AE,0)),"Not on Buffers",IF(NOT(ISNUMBER($B1059)),"Needs a date",IF(INT($B1059)&lt;PlanDate,"Past due",IF(INT($B1059)=PlanDate,"Due today",IF(AND(INDEX(Buffers!$L:$L,MATCH($H1059,Buffers!$AE:$AE,0))="Planned",$E1059&gt;0,INT($B1059)&lt;=PlanDate+ROUNDUP(IF(ISNUMBER(SpikeHorizon),SpikeHorizon,INDEX(Buffers!$D:$D,MATCH($H1059,Buffers!$AE:$AE,0))),0),$E1059&gt;=SpikePct*INDEX(Buffers!$P:$P,MATCH($H1059,Buffers!$AE:$AE,0))),"Spike","Not qualified"))))))</f>
        <v/>
      </c>
      <c r="G1059" s="8" t="str">
        <f aca="false">IF($A1059="","",IF(OR($F1059="Past due",$F1059="Due today",$F1059="Spike"),$C1059,0))</f>
        <v/>
      </c>
      <c r="H1059" s="8" t="str">
        <f aca="false">IF($A1059="","",SUBSTITUTE(SUBSTITUTE(SUBSTITUTE($A1059&amp;"","~","~~"),"*","~*"),"?","~?"))</f>
        <v/>
      </c>
    </row>
    <row r="1060" customFormat="false" ht="15" hidden="false" customHeight="false" outlineLevel="0" collapsed="false">
      <c r="A1060" s="11"/>
      <c r="B1060" s="6"/>
      <c r="C1060" s="11"/>
      <c r="D1060" s="11"/>
      <c r="E1060" s="8" t="str">
        <f aca="false">IF($A1060="","",SUMIFS($C:$C,$A:$A,$H1060,$B:$B,"&gt;="&amp;INT($B1060),$B:$B,"&lt;"&amp;(INT($B1060)+1)))</f>
        <v/>
      </c>
      <c r="F1060" s="19" t="str">
        <f aca="false">IF($A1060="","",IF(ISNA(MATCH($H1060,Buffers!$AE:$AE,0)),"Not on Buffers",IF(NOT(ISNUMBER($B1060)),"Needs a date",IF(INT($B1060)&lt;PlanDate,"Past due",IF(INT($B1060)=PlanDate,"Due today",IF(AND(INDEX(Buffers!$L:$L,MATCH($H1060,Buffers!$AE:$AE,0))="Planned",$E1060&gt;0,INT($B1060)&lt;=PlanDate+ROUNDUP(IF(ISNUMBER(SpikeHorizon),SpikeHorizon,INDEX(Buffers!$D:$D,MATCH($H1060,Buffers!$AE:$AE,0))),0),$E1060&gt;=SpikePct*INDEX(Buffers!$P:$P,MATCH($H1060,Buffers!$AE:$AE,0))),"Spike","Not qualified"))))))</f>
        <v/>
      </c>
      <c r="G1060" s="8" t="str">
        <f aca="false">IF($A1060="","",IF(OR($F1060="Past due",$F1060="Due today",$F1060="Spike"),$C1060,0))</f>
        <v/>
      </c>
      <c r="H1060" s="8" t="str">
        <f aca="false">IF($A1060="","",SUBSTITUTE(SUBSTITUTE(SUBSTITUTE($A1060&amp;"","~","~~"),"*","~*"),"?","~?"))</f>
        <v/>
      </c>
    </row>
    <row r="1061" customFormat="false" ht="15" hidden="false" customHeight="false" outlineLevel="0" collapsed="false">
      <c r="A1061" s="11"/>
      <c r="B1061" s="6"/>
      <c r="C1061" s="11"/>
      <c r="D1061" s="11"/>
      <c r="E1061" s="8" t="str">
        <f aca="false">IF($A1061="","",SUMIFS($C:$C,$A:$A,$H1061,$B:$B,"&gt;="&amp;INT($B1061),$B:$B,"&lt;"&amp;(INT($B1061)+1)))</f>
        <v/>
      </c>
      <c r="F1061" s="19" t="str">
        <f aca="false">IF($A1061="","",IF(ISNA(MATCH($H1061,Buffers!$AE:$AE,0)),"Not on Buffers",IF(NOT(ISNUMBER($B1061)),"Needs a date",IF(INT($B1061)&lt;PlanDate,"Past due",IF(INT($B1061)=PlanDate,"Due today",IF(AND(INDEX(Buffers!$L:$L,MATCH($H1061,Buffers!$AE:$AE,0))="Planned",$E1061&gt;0,INT($B1061)&lt;=PlanDate+ROUNDUP(IF(ISNUMBER(SpikeHorizon),SpikeHorizon,INDEX(Buffers!$D:$D,MATCH($H1061,Buffers!$AE:$AE,0))),0),$E1061&gt;=SpikePct*INDEX(Buffers!$P:$P,MATCH($H1061,Buffers!$AE:$AE,0))),"Spike","Not qualified"))))))</f>
        <v/>
      </c>
      <c r="G1061" s="8" t="str">
        <f aca="false">IF($A1061="","",IF(OR($F1061="Past due",$F1061="Due today",$F1061="Spike"),$C1061,0))</f>
        <v/>
      </c>
      <c r="H1061" s="8" t="str">
        <f aca="false">IF($A1061="","",SUBSTITUTE(SUBSTITUTE(SUBSTITUTE($A1061&amp;"","~","~~"),"*","~*"),"?","~?"))</f>
        <v/>
      </c>
    </row>
    <row r="1062" customFormat="false" ht="15" hidden="false" customHeight="false" outlineLevel="0" collapsed="false">
      <c r="A1062" s="11"/>
      <c r="B1062" s="6"/>
      <c r="C1062" s="11"/>
      <c r="D1062" s="11"/>
      <c r="E1062" s="8" t="str">
        <f aca="false">IF($A1062="","",SUMIFS($C:$C,$A:$A,$H1062,$B:$B,"&gt;="&amp;INT($B1062),$B:$B,"&lt;"&amp;(INT($B1062)+1)))</f>
        <v/>
      </c>
      <c r="F1062" s="19" t="str">
        <f aca="false">IF($A1062="","",IF(ISNA(MATCH($H1062,Buffers!$AE:$AE,0)),"Not on Buffers",IF(NOT(ISNUMBER($B1062)),"Needs a date",IF(INT($B1062)&lt;PlanDate,"Past due",IF(INT($B1062)=PlanDate,"Due today",IF(AND(INDEX(Buffers!$L:$L,MATCH($H1062,Buffers!$AE:$AE,0))="Planned",$E1062&gt;0,INT($B1062)&lt;=PlanDate+ROUNDUP(IF(ISNUMBER(SpikeHorizon),SpikeHorizon,INDEX(Buffers!$D:$D,MATCH($H1062,Buffers!$AE:$AE,0))),0),$E1062&gt;=SpikePct*INDEX(Buffers!$P:$P,MATCH($H1062,Buffers!$AE:$AE,0))),"Spike","Not qualified"))))))</f>
        <v/>
      </c>
      <c r="G1062" s="8" t="str">
        <f aca="false">IF($A1062="","",IF(OR($F1062="Past due",$F1062="Due today",$F1062="Spike"),$C1062,0))</f>
        <v/>
      </c>
      <c r="H1062" s="8" t="str">
        <f aca="false">IF($A1062="","",SUBSTITUTE(SUBSTITUTE(SUBSTITUTE($A1062&amp;"","~","~~"),"*","~*"),"?","~?"))</f>
        <v/>
      </c>
    </row>
    <row r="1063" customFormat="false" ht="15" hidden="false" customHeight="false" outlineLevel="0" collapsed="false">
      <c r="A1063" s="11"/>
      <c r="B1063" s="6"/>
      <c r="C1063" s="11"/>
      <c r="D1063" s="11"/>
      <c r="E1063" s="8" t="str">
        <f aca="false">IF($A1063="","",SUMIFS($C:$C,$A:$A,$H1063,$B:$B,"&gt;="&amp;INT($B1063),$B:$B,"&lt;"&amp;(INT($B1063)+1)))</f>
        <v/>
      </c>
      <c r="F1063" s="19" t="str">
        <f aca="false">IF($A1063="","",IF(ISNA(MATCH($H1063,Buffers!$AE:$AE,0)),"Not on Buffers",IF(NOT(ISNUMBER($B1063)),"Needs a date",IF(INT($B1063)&lt;PlanDate,"Past due",IF(INT($B1063)=PlanDate,"Due today",IF(AND(INDEX(Buffers!$L:$L,MATCH($H1063,Buffers!$AE:$AE,0))="Planned",$E1063&gt;0,INT($B1063)&lt;=PlanDate+ROUNDUP(IF(ISNUMBER(SpikeHorizon),SpikeHorizon,INDEX(Buffers!$D:$D,MATCH($H1063,Buffers!$AE:$AE,0))),0),$E1063&gt;=SpikePct*INDEX(Buffers!$P:$P,MATCH($H1063,Buffers!$AE:$AE,0))),"Spike","Not qualified"))))))</f>
        <v/>
      </c>
      <c r="G1063" s="8" t="str">
        <f aca="false">IF($A1063="","",IF(OR($F1063="Past due",$F1063="Due today",$F1063="Spike"),$C1063,0))</f>
        <v/>
      </c>
      <c r="H1063" s="8" t="str">
        <f aca="false">IF($A1063="","",SUBSTITUTE(SUBSTITUTE(SUBSTITUTE($A1063&amp;"","~","~~"),"*","~*"),"?","~?"))</f>
        <v/>
      </c>
    </row>
    <row r="1064" customFormat="false" ht="15" hidden="false" customHeight="false" outlineLevel="0" collapsed="false">
      <c r="A1064" s="11"/>
      <c r="B1064" s="6"/>
      <c r="C1064" s="11"/>
      <c r="D1064" s="11"/>
      <c r="E1064" s="8" t="str">
        <f aca="false">IF($A1064="","",SUMIFS($C:$C,$A:$A,$H1064,$B:$B,"&gt;="&amp;INT($B1064),$B:$B,"&lt;"&amp;(INT($B1064)+1)))</f>
        <v/>
      </c>
      <c r="F1064" s="19" t="str">
        <f aca="false">IF($A1064="","",IF(ISNA(MATCH($H1064,Buffers!$AE:$AE,0)),"Not on Buffers",IF(NOT(ISNUMBER($B1064)),"Needs a date",IF(INT($B1064)&lt;PlanDate,"Past due",IF(INT($B1064)=PlanDate,"Due today",IF(AND(INDEX(Buffers!$L:$L,MATCH($H1064,Buffers!$AE:$AE,0))="Planned",$E1064&gt;0,INT($B1064)&lt;=PlanDate+ROUNDUP(IF(ISNUMBER(SpikeHorizon),SpikeHorizon,INDEX(Buffers!$D:$D,MATCH($H1064,Buffers!$AE:$AE,0))),0),$E1064&gt;=SpikePct*INDEX(Buffers!$P:$P,MATCH($H1064,Buffers!$AE:$AE,0))),"Spike","Not qualified"))))))</f>
        <v/>
      </c>
      <c r="G1064" s="8" t="str">
        <f aca="false">IF($A1064="","",IF(OR($F1064="Past due",$F1064="Due today",$F1064="Spike"),$C1064,0))</f>
        <v/>
      </c>
      <c r="H1064" s="8" t="str">
        <f aca="false">IF($A1064="","",SUBSTITUTE(SUBSTITUTE(SUBSTITUTE($A1064&amp;"","~","~~"),"*","~*"),"?","~?"))</f>
        <v/>
      </c>
    </row>
    <row r="1065" customFormat="false" ht="15" hidden="false" customHeight="false" outlineLevel="0" collapsed="false">
      <c r="A1065" s="11"/>
      <c r="B1065" s="6"/>
      <c r="C1065" s="11"/>
      <c r="D1065" s="11"/>
      <c r="E1065" s="8" t="str">
        <f aca="false">IF($A1065="","",SUMIFS($C:$C,$A:$A,$H1065,$B:$B,"&gt;="&amp;INT($B1065),$B:$B,"&lt;"&amp;(INT($B1065)+1)))</f>
        <v/>
      </c>
      <c r="F1065" s="19" t="str">
        <f aca="false">IF($A1065="","",IF(ISNA(MATCH($H1065,Buffers!$AE:$AE,0)),"Not on Buffers",IF(NOT(ISNUMBER($B1065)),"Needs a date",IF(INT($B1065)&lt;PlanDate,"Past due",IF(INT($B1065)=PlanDate,"Due today",IF(AND(INDEX(Buffers!$L:$L,MATCH($H1065,Buffers!$AE:$AE,0))="Planned",$E1065&gt;0,INT($B1065)&lt;=PlanDate+ROUNDUP(IF(ISNUMBER(SpikeHorizon),SpikeHorizon,INDEX(Buffers!$D:$D,MATCH($H1065,Buffers!$AE:$AE,0))),0),$E1065&gt;=SpikePct*INDEX(Buffers!$P:$P,MATCH($H1065,Buffers!$AE:$AE,0))),"Spike","Not qualified"))))))</f>
        <v/>
      </c>
      <c r="G1065" s="8" t="str">
        <f aca="false">IF($A1065="","",IF(OR($F1065="Past due",$F1065="Due today",$F1065="Spike"),$C1065,0))</f>
        <v/>
      </c>
      <c r="H1065" s="8" t="str">
        <f aca="false">IF($A1065="","",SUBSTITUTE(SUBSTITUTE(SUBSTITUTE($A1065&amp;"","~","~~"),"*","~*"),"?","~?"))</f>
        <v/>
      </c>
    </row>
    <row r="1066" customFormat="false" ht="15" hidden="false" customHeight="false" outlineLevel="0" collapsed="false">
      <c r="A1066" s="11"/>
      <c r="B1066" s="6"/>
      <c r="C1066" s="11"/>
      <c r="D1066" s="11"/>
      <c r="E1066" s="8" t="str">
        <f aca="false">IF($A1066="","",SUMIFS($C:$C,$A:$A,$H1066,$B:$B,"&gt;="&amp;INT($B1066),$B:$B,"&lt;"&amp;(INT($B1066)+1)))</f>
        <v/>
      </c>
      <c r="F1066" s="19" t="str">
        <f aca="false">IF($A1066="","",IF(ISNA(MATCH($H1066,Buffers!$AE:$AE,0)),"Not on Buffers",IF(NOT(ISNUMBER($B1066)),"Needs a date",IF(INT($B1066)&lt;PlanDate,"Past due",IF(INT($B1066)=PlanDate,"Due today",IF(AND(INDEX(Buffers!$L:$L,MATCH($H1066,Buffers!$AE:$AE,0))="Planned",$E1066&gt;0,INT($B1066)&lt;=PlanDate+ROUNDUP(IF(ISNUMBER(SpikeHorizon),SpikeHorizon,INDEX(Buffers!$D:$D,MATCH($H1066,Buffers!$AE:$AE,0))),0),$E1066&gt;=SpikePct*INDEX(Buffers!$P:$P,MATCH($H1066,Buffers!$AE:$AE,0))),"Spike","Not qualified"))))))</f>
        <v/>
      </c>
      <c r="G1066" s="8" t="str">
        <f aca="false">IF($A1066="","",IF(OR($F1066="Past due",$F1066="Due today",$F1066="Spike"),$C1066,0))</f>
        <v/>
      </c>
      <c r="H1066" s="8" t="str">
        <f aca="false">IF($A1066="","",SUBSTITUTE(SUBSTITUTE(SUBSTITUTE($A1066&amp;"","~","~~"),"*","~*"),"?","~?"))</f>
        <v/>
      </c>
    </row>
    <row r="1067" customFormat="false" ht="15" hidden="false" customHeight="false" outlineLevel="0" collapsed="false">
      <c r="A1067" s="11"/>
      <c r="B1067" s="6"/>
      <c r="C1067" s="11"/>
      <c r="D1067" s="11"/>
      <c r="E1067" s="8" t="str">
        <f aca="false">IF($A1067="","",SUMIFS($C:$C,$A:$A,$H1067,$B:$B,"&gt;="&amp;INT($B1067),$B:$B,"&lt;"&amp;(INT($B1067)+1)))</f>
        <v/>
      </c>
      <c r="F1067" s="19" t="str">
        <f aca="false">IF($A1067="","",IF(ISNA(MATCH($H1067,Buffers!$AE:$AE,0)),"Not on Buffers",IF(NOT(ISNUMBER($B1067)),"Needs a date",IF(INT($B1067)&lt;PlanDate,"Past due",IF(INT($B1067)=PlanDate,"Due today",IF(AND(INDEX(Buffers!$L:$L,MATCH($H1067,Buffers!$AE:$AE,0))="Planned",$E1067&gt;0,INT($B1067)&lt;=PlanDate+ROUNDUP(IF(ISNUMBER(SpikeHorizon),SpikeHorizon,INDEX(Buffers!$D:$D,MATCH($H1067,Buffers!$AE:$AE,0))),0),$E1067&gt;=SpikePct*INDEX(Buffers!$P:$P,MATCH($H1067,Buffers!$AE:$AE,0))),"Spike","Not qualified"))))))</f>
        <v/>
      </c>
      <c r="G1067" s="8" t="str">
        <f aca="false">IF($A1067="","",IF(OR($F1067="Past due",$F1067="Due today",$F1067="Spike"),$C1067,0))</f>
        <v/>
      </c>
      <c r="H1067" s="8" t="str">
        <f aca="false">IF($A1067="","",SUBSTITUTE(SUBSTITUTE(SUBSTITUTE($A1067&amp;"","~","~~"),"*","~*"),"?","~?"))</f>
        <v/>
      </c>
    </row>
    <row r="1068" customFormat="false" ht="15" hidden="false" customHeight="false" outlineLevel="0" collapsed="false">
      <c r="A1068" s="11"/>
      <c r="B1068" s="6"/>
      <c r="C1068" s="11"/>
      <c r="D1068" s="11"/>
      <c r="E1068" s="8" t="str">
        <f aca="false">IF($A1068="","",SUMIFS($C:$C,$A:$A,$H1068,$B:$B,"&gt;="&amp;INT($B1068),$B:$B,"&lt;"&amp;(INT($B1068)+1)))</f>
        <v/>
      </c>
      <c r="F1068" s="19" t="str">
        <f aca="false">IF($A1068="","",IF(ISNA(MATCH($H1068,Buffers!$AE:$AE,0)),"Not on Buffers",IF(NOT(ISNUMBER($B1068)),"Needs a date",IF(INT($B1068)&lt;PlanDate,"Past due",IF(INT($B1068)=PlanDate,"Due today",IF(AND(INDEX(Buffers!$L:$L,MATCH($H1068,Buffers!$AE:$AE,0))="Planned",$E1068&gt;0,INT($B1068)&lt;=PlanDate+ROUNDUP(IF(ISNUMBER(SpikeHorizon),SpikeHorizon,INDEX(Buffers!$D:$D,MATCH($H1068,Buffers!$AE:$AE,0))),0),$E1068&gt;=SpikePct*INDEX(Buffers!$P:$P,MATCH($H1068,Buffers!$AE:$AE,0))),"Spike","Not qualified"))))))</f>
        <v/>
      </c>
      <c r="G1068" s="8" t="str">
        <f aca="false">IF($A1068="","",IF(OR($F1068="Past due",$F1068="Due today",$F1068="Spike"),$C1068,0))</f>
        <v/>
      </c>
      <c r="H1068" s="8" t="str">
        <f aca="false">IF($A1068="","",SUBSTITUTE(SUBSTITUTE(SUBSTITUTE($A1068&amp;"","~","~~"),"*","~*"),"?","~?"))</f>
        <v/>
      </c>
    </row>
    <row r="1069" customFormat="false" ht="15" hidden="false" customHeight="false" outlineLevel="0" collapsed="false">
      <c r="A1069" s="11"/>
      <c r="B1069" s="6"/>
      <c r="C1069" s="11"/>
      <c r="D1069" s="11"/>
      <c r="E1069" s="8" t="str">
        <f aca="false">IF($A1069="","",SUMIFS($C:$C,$A:$A,$H1069,$B:$B,"&gt;="&amp;INT($B1069),$B:$B,"&lt;"&amp;(INT($B1069)+1)))</f>
        <v/>
      </c>
      <c r="F1069" s="19" t="str">
        <f aca="false">IF($A1069="","",IF(ISNA(MATCH($H1069,Buffers!$AE:$AE,0)),"Not on Buffers",IF(NOT(ISNUMBER($B1069)),"Needs a date",IF(INT($B1069)&lt;PlanDate,"Past due",IF(INT($B1069)=PlanDate,"Due today",IF(AND(INDEX(Buffers!$L:$L,MATCH($H1069,Buffers!$AE:$AE,0))="Planned",$E1069&gt;0,INT($B1069)&lt;=PlanDate+ROUNDUP(IF(ISNUMBER(SpikeHorizon),SpikeHorizon,INDEX(Buffers!$D:$D,MATCH($H1069,Buffers!$AE:$AE,0))),0),$E1069&gt;=SpikePct*INDEX(Buffers!$P:$P,MATCH($H1069,Buffers!$AE:$AE,0))),"Spike","Not qualified"))))))</f>
        <v/>
      </c>
      <c r="G1069" s="8" t="str">
        <f aca="false">IF($A1069="","",IF(OR($F1069="Past due",$F1069="Due today",$F1069="Spike"),$C1069,0))</f>
        <v/>
      </c>
      <c r="H1069" s="8" t="str">
        <f aca="false">IF($A1069="","",SUBSTITUTE(SUBSTITUTE(SUBSTITUTE($A1069&amp;"","~","~~"),"*","~*"),"?","~?"))</f>
        <v/>
      </c>
    </row>
    <row r="1070" customFormat="false" ht="15" hidden="false" customHeight="false" outlineLevel="0" collapsed="false">
      <c r="A1070" s="11"/>
      <c r="B1070" s="6"/>
      <c r="C1070" s="11"/>
      <c r="D1070" s="11"/>
      <c r="E1070" s="8" t="str">
        <f aca="false">IF($A1070="","",SUMIFS($C:$C,$A:$A,$H1070,$B:$B,"&gt;="&amp;INT($B1070),$B:$B,"&lt;"&amp;(INT($B1070)+1)))</f>
        <v/>
      </c>
      <c r="F1070" s="19" t="str">
        <f aca="false">IF($A1070="","",IF(ISNA(MATCH($H1070,Buffers!$AE:$AE,0)),"Not on Buffers",IF(NOT(ISNUMBER($B1070)),"Needs a date",IF(INT($B1070)&lt;PlanDate,"Past due",IF(INT($B1070)=PlanDate,"Due today",IF(AND(INDEX(Buffers!$L:$L,MATCH($H1070,Buffers!$AE:$AE,0))="Planned",$E1070&gt;0,INT($B1070)&lt;=PlanDate+ROUNDUP(IF(ISNUMBER(SpikeHorizon),SpikeHorizon,INDEX(Buffers!$D:$D,MATCH($H1070,Buffers!$AE:$AE,0))),0),$E1070&gt;=SpikePct*INDEX(Buffers!$P:$P,MATCH($H1070,Buffers!$AE:$AE,0))),"Spike","Not qualified"))))))</f>
        <v/>
      </c>
      <c r="G1070" s="8" t="str">
        <f aca="false">IF($A1070="","",IF(OR($F1070="Past due",$F1070="Due today",$F1070="Spike"),$C1070,0))</f>
        <v/>
      </c>
      <c r="H1070" s="8" t="str">
        <f aca="false">IF($A1070="","",SUBSTITUTE(SUBSTITUTE(SUBSTITUTE($A1070&amp;"","~","~~"),"*","~*"),"?","~?"))</f>
        <v/>
      </c>
    </row>
    <row r="1071" customFormat="false" ht="15" hidden="false" customHeight="false" outlineLevel="0" collapsed="false">
      <c r="A1071" s="11"/>
      <c r="B1071" s="6"/>
      <c r="C1071" s="11"/>
      <c r="D1071" s="11"/>
      <c r="E1071" s="8" t="str">
        <f aca="false">IF($A1071="","",SUMIFS($C:$C,$A:$A,$H1071,$B:$B,"&gt;="&amp;INT($B1071),$B:$B,"&lt;"&amp;(INT($B1071)+1)))</f>
        <v/>
      </c>
      <c r="F1071" s="19" t="str">
        <f aca="false">IF($A1071="","",IF(ISNA(MATCH($H1071,Buffers!$AE:$AE,0)),"Not on Buffers",IF(NOT(ISNUMBER($B1071)),"Needs a date",IF(INT($B1071)&lt;PlanDate,"Past due",IF(INT($B1071)=PlanDate,"Due today",IF(AND(INDEX(Buffers!$L:$L,MATCH($H1071,Buffers!$AE:$AE,0))="Planned",$E1071&gt;0,INT($B1071)&lt;=PlanDate+ROUNDUP(IF(ISNUMBER(SpikeHorizon),SpikeHorizon,INDEX(Buffers!$D:$D,MATCH($H1071,Buffers!$AE:$AE,0))),0),$E1071&gt;=SpikePct*INDEX(Buffers!$P:$P,MATCH($H1071,Buffers!$AE:$AE,0))),"Spike","Not qualified"))))))</f>
        <v/>
      </c>
      <c r="G1071" s="8" t="str">
        <f aca="false">IF($A1071="","",IF(OR($F1071="Past due",$F1071="Due today",$F1071="Spike"),$C1071,0))</f>
        <v/>
      </c>
      <c r="H1071" s="8" t="str">
        <f aca="false">IF($A1071="","",SUBSTITUTE(SUBSTITUTE(SUBSTITUTE($A1071&amp;"","~","~~"),"*","~*"),"?","~?"))</f>
        <v/>
      </c>
    </row>
    <row r="1072" customFormat="false" ht="15" hidden="false" customHeight="false" outlineLevel="0" collapsed="false">
      <c r="A1072" s="11"/>
      <c r="B1072" s="6"/>
      <c r="C1072" s="11"/>
      <c r="D1072" s="11"/>
      <c r="E1072" s="8" t="str">
        <f aca="false">IF($A1072="","",SUMIFS($C:$C,$A:$A,$H1072,$B:$B,"&gt;="&amp;INT($B1072),$B:$B,"&lt;"&amp;(INT($B1072)+1)))</f>
        <v/>
      </c>
      <c r="F1072" s="19" t="str">
        <f aca="false">IF($A1072="","",IF(ISNA(MATCH($H1072,Buffers!$AE:$AE,0)),"Not on Buffers",IF(NOT(ISNUMBER($B1072)),"Needs a date",IF(INT($B1072)&lt;PlanDate,"Past due",IF(INT($B1072)=PlanDate,"Due today",IF(AND(INDEX(Buffers!$L:$L,MATCH($H1072,Buffers!$AE:$AE,0))="Planned",$E1072&gt;0,INT($B1072)&lt;=PlanDate+ROUNDUP(IF(ISNUMBER(SpikeHorizon),SpikeHorizon,INDEX(Buffers!$D:$D,MATCH($H1072,Buffers!$AE:$AE,0))),0),$E1072&gt;=SpikePct*INDEX(Buffers!$P:$P,MATCH($H1072,Buffers!$AE:$AE,0))),"Spike","Not qualified"))))))</f>
        <v/>
      </c>
      <c r="G1072" s="8" t="str">
        <f aca="false">IF($A1072="","",IF(OR($F1072="Past due",$F1072="Due today",$F1072="Spike"),$C1072,0))</f>
        <v/>
      </c>
      <c r="H1072" s="8" t="str">
        <f aca="false">IF($A1072="","",SUBSTITUTE(SUBSTITUTE(SUBSTITUTE($A1072&amp;"","~","~~"),"*","~*"),"?","~?"))</f>
        <v/>
      </c>
    </row>
    <row r="1073" customFormat="false" ht="15" hidden="false" customHeight="false" outlineLevel="0" collapsed="false">
      <c r="A1073" s="11"/>
      <c r="B1073" s="6"/>
      <c r="C1073" s="11"/>
      <c r="D1073" s="11"/>
      <c r="E1073" s="8" t="str">
        <f aca="false">IF($A1073="","",SUMIFS($C:$C,$A:$A,$H1073,$B:$B,"&gt;="&amp;INT($B1073),$B:$B,"&lt;"&amp;(INT($B1073)+1)))</f>
        <v/>
      </c>
      <c r="F1073" s="19" t="str">
        <f aca="false">IF($A1073="","",IF(ISNA(MATCH($H1073,Buffers!$AE:$AE,0)),"Not on Buffers",IF(NOT(ISNUMBER($B1073)),"Needs a date",IF(INT($B1073)&lt;PlanDate,"Past due",IF(INT($B1073)=PlanDate,"Due today",IF(AND(INDEX(Buffers!$L:$L,MATCH($H1073,Buffers!$AE:$AE,0))="Planned",$E1073&gt;0,INT($B1073)&lt;=PlanDate+ROUNDUP(IF(ISNUMBER(SpikeHorizon),SpikeHorizon,INDEX(Buffers!$D:$D,MATCH($H1073,Buffers!$AE:$AE,0))),0),$E1073&gt;=SpikePct*INDEX(Buffers!$P:$P,MATCH($H1073,Buffers!$AE:$AE,0))),"Spike","Not qualified"))))))</f>
        <v/>
      </c>
      <c r="G1073" s="8" t="str">
        <f aca="false">IF($A1073="","",IF(OR($F1073="Past due",$F1073="Due today",$F1073="Spike"),$C1073,0))</f>
        <v/>
      </c>
      <c r="H1073" s="8" t="str">
        <f aca="false">IF($A1073="","",SUBSTITUTE(SUBSTITUTE(SUBSTITUTE($A1073&amp;"","~","~~"),"*","~*"),"?","~?"))</f>
        <v/>
      </c>
    </row>
    <row r="1074" customFormat="false" ht="15" hidden="false" customHeight="false" outlineLevel="0" collapsed="false">
      <c r="A1074" s="11"/>
      <c r="B1074" s="6"/>
      <c r="C1074" s="11"/>
      <c r="D1074" s="11"/>
      <c r="E1074" s="8" t="str">
        <f aca="false">IF($A1074="","",SUMIFS($C:$C,$A:$A,$H1074,$B:$B,"&gt;="&amp;INT($B1074),$B:$B,"&lt;"&amp;(INT($B1074)+1)))</f>
        <v/>
      </c>
      <c r="F1074" s="19" t="str">
        <f aca="false">IF($A1074="","",IF(ISNA(MATCH($H1074,Buffers!$AE:$AE,0)),"Not on Buffers",IF(NOT(ISNUMBER($B1074)),"Needs a date",IF(INT($B1074)&lt;PlanDate,"Past due",IF(INT($B1074)=PlanDate,"Due today",IF(AND(INDEX(Buffers!$L:$L,MATCH($H1074,Buffers!$AE:$AE,0))="Planned",$E1074&gt;0,INT($B1074)&lt;=PlanDate+ROUNDUP(IF(ISNUMBER(SpikeHorizon),SpikeHorizon,INDEX(Buffers!$D:$D,MATCH($H1074,Buffers!$AE:$AE,0))),0),$E1074&gt;=SpikePct*INDEX(Buffers!$P:$P,MATCH($H1074,Buffers!$AE:$AE,0))),"Spike","Not qualified"))))))</f>
        <v/>
      </c>
      <c r="G1074" s="8" t="str">
        <f aca="false">IF($A1074="","",IF(OR($F1074="Past due",$F1074="Due today",$F1074="Spike"),$C1074,0))</f>
        <v/>
      </c>
      <c r="H1074" s="8" t="str">
        <f aca="false">IF($A1074="","",SUBSTITUTE(SUBSTITUTE(SUBSTITUTE($A1074&amp;"","~","~~"),"*","~*"),"?","~?"))</f>
        <v/>
      </c>
    </row>
    <row r="1075" customFormat="false" ht="15" hidden="false" customHeight="false" outlineLevel="0" collapsed="false">
      <c r="A1075" s="11"/>
      <c r="B1075" s="6"/>
      <c r="C1075" s="11"/>
      <c r="D1075" s="11"/>
      <c r="E1075" s="8" t="str">
        <f aca="false">IF($A1075="","",SUMIFS($C:$C,$A:$A,$H1075,$B:$B,"&gt;="&amp;INT($B1075),$B:$B,"&lt;"&amp;(INT($B1075)+1)))</f>
        <v/>
      </c>
      <c r="F1075" s="19" t="str">
        <f aca="false">IF($A1075="","",IF(ISNA(MATCH($H1075,Buffers!$AE:$AE,0)),"Not on Buffers",IF(NOT(ISNUMBER($B1075)),"Needs a date",IF(INT($B1075)&lt;PlanDate,"Past due",IF(INT($B1075)=PlanDate,"Due today",IF(AND(INDEX(Buffers!$L:$L,MATCH($H1075,Buffers!$AE:$AE,0))="Planned",$E1075&gt;0,INT($B1075)&lt;=PlanDate+ROUNDUP(IF(ISNUMBER(SpikeHorizon),SpikeHorizon,INDEX(Buffers!$D:$D,MATCH($H1075,Buffers!$AE:$AE,0))),0),$E1075&gt;=SpikePct*INDEX(Buffers!$P:$P,MATCH($H1075,Buffers!$AE:$AE,0))),"Spike","Not qualified"))))))</f>
        <v/>
      </c>
      <c r="G1075" s="8" t="str">
        <f aca="false">IF($A1075="","",IF(OR($F1075="Past due",$F1075="Due today",$F1075="Spike"),$C1075,0))</f>
        <v/>
      </c>
      <c r="H1075" s="8" t="str">
        <f aca="false">IF($A1075="","",SUBSTITUTE(SUBSTITUTE(SUBSTITUTE($A1075&amp;"","~","~~"),"*","~*"),"?","~?"))</f>
        <v/>
      </c>
    </row>
    <row r="1076" customFormat="false" ht="15" hidden="false" customHeight="false" outlineLevel="0" collapsed="false">
      <c r="A1076" s="11"/>
      <c r="B1076" s="6"/>
      <c r="C1076" s="11"/>
      <c r="D1076" s="11"/>
      <c r="E1076" s="8" t="str">
        <f aca="false">IF($A1076="","",SUMIFS($C:$C,$A:$A,$H1076,$B:$B,"&gt;="&amp;INT($B1076),$B:$B,"&lt;"&amp;(INT($B1076)+1)))</f>
        <v/>
      </c>
      <c r="F1076" s="19" t="str">
        <f aca="false">IF($A1076="","",IF(ISNA(MATCH($H1076,Buffers!$AE:$AE,0)),"Not on Buffers",IF(NOT(ISNUMBER($B1076)),"Needs a date",IF(INT($B1076)&lt;PlanDate,"Past due",IF(INT($B1076)=PlanDate,"Due today",IF(AND(INDEX(Buffers!$L:$L,MATCH($H1076,Buffers!$AE:$AE,0))="Planned",$E1076&gt;0,INT($B1076)&lt;=PlanDate+ROUNDUP(IF(ISNUMBER(SpikeHorizon),SpikeHorizon,INDEX(Buffers!$D:$D,MATCH($H1076,Buffers!$AE:$AE,0))),0),$E1076&gt;=SpikePct*INDEX(Buffers!$P:$P,MATCH($H1076,Buffers!$AE:$AE,0))),"Spike","Not qualified"))))))</f>
        <v/>
      </c>
      <c r="G1076" s="8" t="str">
        <f aca="false">IF($A1076="","",IF(OR($F1076="Past due",$F1076="Due today",$F1076="Spike"),$C1076,0))</f>
        <v/>
      </c>
      <c r="H1076" s="8" t="str">
        <f aca="false">IF($A1076="","",SUBSTITUTE(SUBSTITUTE(SUBSTITUTE($A1076&amp;"","~","~~"),"*","~*"),"?","~?"))</f>
        <v/>
      </c>
    </row>
    <row r="1077" customFormat="false" ht="15" hidden="false" customHeight="false" outlineLevel="0" collapsed="false">
      <c r="A1077" s="11"/>
      <c r="B1077" s="6"/>
      <c r="C1077" s="11"/>
      <c r="D1077" s="11"/>
      <c r="E1077" s="8" t="str">
        <f aca="false">IF($A1077="","",SUMIFS($C:$C,$A:$A,$H1077,$B:$B,"&gt;="&amp;INT($B1077),$B:$B,"&lt;"&amp;(INT($B1077)+1)))</f>
        <v/>
      </c>
      <c r="F1077" s="19" t="str">
        <f aca="false">IF($A1077="","",IF(ISNA(MATCH($H1077,Buffers!$AE:$AE,0)),"Not on Buffers",IF(NOT(ISNUMBER($B1077)),"Needs a date",IF(INT($B1077)&lt;PlanDate,"Past due",IF(INT($B1077)=PlanDate,"Due today",IF(AND(INDEX(Buffers!$L:$L,MATCH($H1077,Buffers!$AE:$AE,0))="Planned",$E1077&gt;0,INT($B1077)&lt;=PlanDate+ROUNDUP(IF(ISNUMBER(SpikeHorizon),SpikeHorizon,INDEX(Buffers!$D:$D,MATCH($H1077,Buffers!$AE:$AE,0))),0),$E1077&gt;=SpikePct*INDEX(Buffers!$P:$P,MATCH($H1077,Buffers!$AE:$AE,0))),"Spike","Not qualified"))))))</f>
        <v/>
      </c>
      <c r="G1077" s="8" t="str">
        <f aca="false">IF($A1077="","",IF(OR($F1077="Past due",$F1077="Due today",$F1077="Spike"),$C1077,0))</f>
        <v/>
      </c>
      <c r="H1077" s="8" t="str">
        <f aca="false">IF($A1077="","",SUBSTITUTE(SUBSTITUTE(SUBSTITUTE($A1077&amp;"","~","~~"),"*","~*"),"?","~?"))</f>
        <v/>
      </c>
    </row>
    <row r="1078" customFormat="false" ht="15" hidden="false" customHeight="false" outlineLevel="0" collapsed="false">
      <c r="A1078" s="11"/>
      <c r="B1078" s="6"/>
      <c r="C1078" s="11"/>
      <c r="D1078" s="11"/>
      <c r="E1078" s="8" t="str">
        <f aca="false">IF($A1078="","",SUMIFS($C:$C,$A:$A,$H1078,$B:$B,"&gt;="&amp;INT($B1078),$B:$B,"&lt;"&amp;(INT($B1078)+1)))</f>
        <v/>
      </c>
      <c r="F1078" s="19" t="str">
        <f aca="false">IF($A1078="","",IF(ISNA(MATCH($H1078,Buffers!$AE:$AE,0)),"Not on Buffers",IF(NOT(ISNUMBER($B1078)),"Needs a date",IF(INT($B1078)&lt;PlanDate,"Past due",IF(INT($B1078)=PlanDate,"Due today",IF(AND(INDEX(Buffers!$L:$L,MATCH($H1078,Buffers!$AE:$AE,0))="Planned",$E1078&gt;0,INT($B1078)&lt;=PlanDate+ROUNDUP(IF(ISNUMBER(SpikeHorizon),SpikeHorizon,INDEX(Buffers!$D:$D,MATCH($H1078,Buffers!$AE:$AE,0))),0),$E1078&gt;=SpikePct*INDEX(Buffers!$P:$P,MATCH($H1078,Buffers!$AE:$AE,0))),"Spike","Not qualified"))))))</f>
        <v/>
      </c>
      <c r="G1078" s="8" t="str">
        <f aca="false">IF($A1078="","",IF(OR($F1078="Past due",$F1078="Due today",$F1078="Spike"),$C1078,0))</f>
        <v/>
      </c>
      <c r="H1078" s="8" t="str">
        <f aca="false">IF($A1078="","",SUBSTITUTE(SUBSTITUTE(SUBSTITUTE($A1078&amp;"","~","~~"),"*","~*"),"?","~?"))</f>
        <v/>
      </c>
    </row>
    <row r="1079" customFormat="false" ht="15" hidden="false" customHeight="false" outlineLevel="0" collapsed="false">
      <c r="A1079" s="11"/>
      <c r="B1079" s="6"/>
      <c r="C1079" s="11"/>
      <c r="D1079" s="11"/>
      <c r="E1079" s="8" t="str">
        <f aca="false">IF($A1079="","",SUMIFS($C:$C,$A:$A,$H1079,$B:$B,"&gt;="&amp;INT($B1079),$B:$B,"&lt;"&amp;(INT($B1079)+1)))</f>
        <v/>
      </c>
      <c r="F1079" s="19" t="str">
        <f aca="false">IF($A1079="","",IF(ISNA(MATCH($H1079,Buffers!$AE:$AE,0)),"Not on Buffers",IF(NOT(ISNUMBER($B1079)),"Needs a date",IF(INT($B1079)&lt;PlanDate,"Past due",IF(INT($B1079)=PlanDate,"Due today",IF(AND(INDEX(Buffers!$L:$L,MATCH($H1079,Buffers!$AE:$AE,0))="Planned",$E1079&gt;0,INT($B1079)&lt;=PlanDate+ROUNDUP(IF(ISNUMBER(SpikeHorizon),SpikeHorizon,INDEX(Buffers!$D:$D,MATCH($H1079,Buffers!$AE:$AE,0))),0),$E1079&gt;=SpikePct*INDEX(Buffers!$P:$P,MATCH($H1079,Buffers!$AE:$AE,0))),"Spike","Not qualified"))))))</f>
        <v/>
      </c>
      <c r="G1079" s="8" t="str">
        <f aca="false">IF($A1079="","",IF(OR($F1079="Past due",$F1079="Due today",$F1079="Spike"),$C1079,0))</f>
        <v/>
      </c>
      <c r="H1079" s="8" t="str">
        <f aca="false">IF($A1079="","",SUBSTITUTE(SUBSTITUTE(SUBSTITUTE($A1079&amp;"","~","~~"),"*","~*"),"?","~?"))</f>
        <v/>
      </c>
    </row>
    <row r="1080" customFormat="false" ht="15" hidden="false" customHeight="false" outlineLevel="0" collapsed="false">
      <c r="A1080" s="11"/>
      <c r="B1080" s="6"/>
      <c r="C1080" s="11"/>
      <c r="D1080" s="11"/>
      <c r="E1080" s="8" t="str">
        <f aca="false">IF($A1080="","",SUMIFS($C:$C,$A:$A,$H1080,$B:$B,"&gt;="&amp;INT($B1080),$B:$B,"&lt;"&amp;(INT($B1080)+1)))</f>
        <v/>
      </c>
      <c r="F1080" s="19" t="str">
        <f aca="false">IF($A1080="","",IF(ISNA(MATCH($H1080,Buffers!$AE:$AE,0)),"Not on Buffers",IF(NOT(ISNUMBER($B1080)),"Needs a date",IF(INT($B1080)&lt;PlanDate,"Past due",IF(INT($B1080)=PlanDate,"Due today",IF(AND(INDEX(Buffers!$L:$L,MATCH($H1080,Buffers!$AE:$AE,0))="Planned",$E1080&gt;0,INT($B1080)&lt;=PlanDate+ROUNDUP(IF(ISNUMBER(SpikeHorizon),SpikeHorizon,INDEX(Buffers!$D:$D,MATCH($H1080,Buffers!$AE:$AE,0))),0),$E1080&gt;=SpikePct*INDEX(Buffers!$P:$P,MATCH($H1080,Buffers!$AE:$AE,0))),"Spike","Not qualified"))))))</f>
        <v/>
      </c>
      <c r="G1080" s="8" t="str">
        <f aca="false">IF($A1080="","",IF(OR($F1080="Past due",$F1080="Due today",$F1080="Spike"),$C1080,0))</f>
        <v/>
      </c>
      <c r="H1080" s="8" t="str">
        <f aca="false">IF($A1080="","",SUBSTITUTE(SUBSTITUTE(SUBSTITUTE($A1080&amp;"","~","~~"),"*","~*"),"?","~?"))</f>
        <v/>
      </c>
    </row>
    <row r="1081" customFormat="false" ht="15" hidden="false" customHeight="false" outlineLevel="0" collapsed="false">
      <c r="A1081" s="11"/>
      <c r="B1081" s="6"/>
      <c r="C1081" s="11"/>
      <c r="D1081" s="11"/>
      <c r="E1081" s="8" t="str">
        <f aca="false">IF($A1081="","",SUMIFS($C:$C,$A:$A,$H1081,$B:$B,"&gt;="&amp;INT($B1081),$B:$B,"&lt;"&amp;(INT($B1081)+1)))</f>
        <v/>
      </c>
      <c r="F1081" s="19" t="str">
        <f aca="false">IF($A1081="","",IF(ISNA(MATCH($H1081,Buffers!$AE:$AE,0)),"Not on Buffers",IF(NOT(ISNUMBER($B1081)),"Needs a date",IF(INT($B1081)&lt;PlanDate,"Past due",IF(INT($B1081)=PlanDate,"Due today",IF(AND(INDEX(Buffers!$L:$L,MATCH($H1081,Buffers!$AE:$AE,0))="Planned",$E1081&gt;0,INT($B1081)&lt;=PlanDate+ROUNDUP(IF(ISNUMBER(SpikeHorizon),SpikeHorizon,INDEX(Buffers!$D:$D,MATCH($H1081,Buffers!$AE:$AE,0))),0),$E1081&gt;=SpikePct*INDEX(Buffers!$P:$P,MATCH($H1081,Buffers!$AE:$AE,0))),"Spike","Not qualified"))))))</f>
        <v/>
      </c>
      <c r="G1081" s="8" t="str">
        <f aca="false">IF($A1081="","",IF(OR($F1081="Past due",$F1081="Due today",$F1081="Spike"),$C1081,0))</f>
        <v/>
      </c>
      <c r="H1081" s="8" t="str">
        <f aca="false">IF($A1081="","",SUBSTITUTE(SUBSTITUTE(SUBSTITUTE($A1081&amp;"","~","~~"),"*","~*"),"?","~?"))</f>
        <v/>
      </c>
    </row>
    <row r="1082" customFormat="false" ht="15" hidden="false" customHeight="false" outlineLevel="0" collapsed="false">
      <c r="A1082" s="11"/>
      <c r="B1082" s="6"/>
      <c r="C1082" s="11"/>
      <c r="D1082" s="11"/>
      <c r="E1082" s="8" t="str">
        <f aca="false">IF($A1082="","",SUMIFS($C:$C,$A:$A,$H1082,$B:$B,"&gt;="&amp;INT($B1082),$B:$B,"&lt;"&amp;(INT($B1082)+1)))</f>
        <v/>
      </c>
      <c r="F1082" s="19" t="str">
        <f aca="false">IF($A1082="","",IF(ISNA(MATCH($H1082,Buffers!$AE:$AE,0)),"Not on Buffers",IF(NOT(ISNUMBER($B1082)),"Needs a date",IF(INT($B1082)&lt;PlanDate,"Past due",IF(INT($B1082)=PlanDate,"Due today",IF(AND(INDEX(Buffers!$L:$L,MATCH($H1082,Buffers!$AE:$AE,0))="Planned",$E1082&gt;0,INT($B1082)&lt;=PlanDate+ROUNDUP(IF(ISNUMBER(SpikeHorizon),SpikeHorizon,INDEX(Buffers!$D:$D,MATCH($H1082,Buffers!$AE:$AE,0))),0),$E1082&gt;=SpikePct*INDEX(Buffers!$P:$P,MATCH($H1082,Buffers!$AE:$AE,0))),"Spike","Not qualified"))))))</f>
        <v/>
      </c>
      <c r="G1082" s="8" t="str">
        <f aca="false">IF($A1082="","",IF(OR($F1082="Past due",$F1082="Due today",$F1082="Spike"),$C1082,0))</f>
        <v/>
      </c>
      <c r="H1082" s="8" t="str">
        <f aca="false">IF($A1082="","",SUBSTITUTE(SUBSTITUTE(SUBSTITUTE($A1082&amp;"","~","~~"),"*","~*"),"?","~?"))</f>
        <v/>
      </c>
    </row>
    <row r="1083" customFormat="false" ht="15" hidden="false" customHeight="false" outlineLevel="0" collapsed="false">
      <c r="A1083" s="11"/>
      <c r="B1083" s="6"/>
      <c r="C1083" s="11"/>
      <c r="D1083" s="11"/>
      <c r="E1083" s="8" t="str">
        <f aca="false">IF($A1083="","",SUMIFS($C:$C,$A:$A,$H1083,$B:$B,"&gt;="&amp;INT($B1083),$B:$B,"&lt;"&amp;(INT($B1083)+1)))</f>
        <v/>
      </c>
      <c r="F1083" s="19" t="str">
        <f aca="false">IF($A1083="","",IF(ISNA(MATCH($H1083,Buffers!$AE:$AE,0)),"Not on Buffers",IF(NOT(ISNUMBER($B1083)),"Needs a date",IF(INT($B1083)&lt;PlanDate,"Past due",IF(INT($B1083)=PlanDate,"Due today",IF(AND(INDEX(Buffers!$L:$L,MATCH($H1083,Buffers!$AE:$AE,0))="Planned",$E1083&gt;0,INT($B1083)&lt;=PlanDate+ROUNDUP(IF(ISNUMBER(SpikeHorizon),SpikeHorizon,INDEX(Buffers!$D:$D,MATCH($H1083,Buffers!$AE:$AE,0))),0),$E1083&gt;=SpikePct*INDEX(Buffers!$P:$P,MATCH($H1083,Buffers!$AE:$AE,0))),"Spike","Not qualified"))))))</f>
        <v/>
      </c>
      <c r="G1083" s="8" t="str">
        <f aca="false">IF($A1083="","",IF(OR($F1083="Past due",$F1083="Due today",$F1083="Spike"),$C1083,0))</f>
        <v/>
      </c>
      <c r="H1083" s="8" t="str">
        <f aca="false">IF($A1083="","",SUBSTITUTE(SUBSTITUTE(SUBSTITUTE($A1083&amp;"","~","~~"),"*","~*"),"?","~?"))</f>
        <v/>
      </c>
    </row>
    <row r="1084" customFormat="false" ht="15" hidden="false" customHeight="false" outlineLevel="0" collapsed="false">
      <c r="A1084" s="11"/>
      <c r="B1084" s="6"/>
      <c r="C1084" s="11"/>
      <c r="D1084" s="11"/>
      <c r="E1084" s="8" t="str">
        <f aca="false">IF($A1084="","",SUMIFS($C:$C,$A:$A,$H1084,$B:$B,"&gt;="&amp;INT($B1084),$B:$B,"&lt;"&amp;(INT($B1084)+1)))</f>
        <v/>
      </c>
      <c r="F1084" s="19" t="str">
        <f aca="false">IF($A1084="","",IF(ISNA(MATCH($H1084,Buffers!$AE:$AE,0)),"Not on Buffers",IF(NOT(ISNUMBER($B1084)),"Needs a date",IF(INT($B1084)&lt;PlanDate,"Past due",IF(INT($B1084)=PlanDate,"Due today",IF(AND(INDEX(Buffers!$L:$L,MATCH($H1084,Buffers!$AE:$AE,0))="Planned",$E1084&gt;0,INT($B1084)&lt;=PlanDate+ROUNDUP(IF(ISNUMBER(SpikeHorizon),SpikeHorizon,INDEX(Buffers!$D:$D,MATCH($H1084,Buffers!$AE:$AE,0))),0),$E1084&gt;=SpikePct*INDEX(Buffers!$P:$P,MATCH($H1084,Buffers!$AE:$AE,0))),"Spike","Not qualified"))))))</f>
        <v/>
      </c>
      <c r="G1084" s="8" t="str">
        <f aca="false">IF($A1084="","",IF(OR($F1084="Past due",$F1084="Due today",$F1084="Spike"),$C1084,0))</f>
        <v/>
      </c>
      <c r="H1084" s="8" t="str">
        <f aca="false">IF($A1084="","",SUBSTITUTE(SUBSTITUTE(SUBSTITUTE($A1084&amp;"","~","~~"),"*","~*"),"?","~?"))</f>
        <v/>
      </c>
    </row>
    <row r="1085" customFormat="false" ht="15" hidden="false" customHeight="false" outlineLevel="0" collapsed="false">
      <c r="A1085" s="11"/>
      <c r="B1085" s="6"/>
      <c r="C1085" s="11"/>
      <c r="D1085" s="11"/>
      <c r="E1085" s="8" t="str">
        <f aca="false">IF($A1085="","",SUMIFS($C:$C,$A:$A,$H1085,$B:$B,"&gt;="&amp;INT($B1085),$B:$B,"&lt;"&amp;(INT($B1085)+1)))</f>
        <v/>
      </c>
      <c r="F1085" s="19" t="str">
        <f aca="false">IF($A1085="","",IF(ISNA(MATCH($H1085,Buffers!$AE:$AE,0)),"Not on Buffers",IF(NOT(ISNUMBER($B1085)),"Needs a date",IF(INT($B1085)&lt;PlanDate,"Past due",IF(INT($B1085)=PlanDate,"Due today",IF(AND(INDEX(Buffers!$L:$L,MATCH($H1085,Buffers!$AE:$AE,0))="Planned",$E1085&gt;0,INT($B1085)&lt;=PlanDate+ROUNDUP(IF(ISNUMBER(SpikeHorizon),SpikeHorizon,INDEX(Buffers!$D:$D,MATCH($H1085,Buffers!$AE:$AE,0))),0),$E1085&gt;=SpikePct*INDEX(Buffers!$P:$P,MATCH($H1085,Buffers!$AE:$AE,0))),"Spike","Not qualified"))))))</f>
        <v/>
      </c>
      <c r="G1085" s="8" t="str">
        <f aca="false">IF($A1085="","",IF(OR($F1085="Past due",$F1085="Due today",$F1085="Spike"),$C1085,0))</f>
        <v/>
      </c>
      <c r="H1085" s="8" t="str">
        <f aca="false">IF($A1085="","",SUBSTITUTE(SUBSTITUTE(SUBSTITUTE($A1085&amp;"","~","~~"),"*","~*"),"?","~?"))</f>
        <v/>
      </c>
    </row>
    <row r="1086" customFormat="false" ht="15" hidden="false" customHeight="false" outlineLevel="0" collapsed="false">
      <c r="A1086" s="11"/>
      <c r="B1086" s="6"/>
      <c r="C1086" s="11"/>
      <c r="D1086" s="11"/>
      <c r="E1086" s="8" t="str">
        <f aca="false">IF($A1086="","",SUMIFS($C:$C,$A:$A,$H1086,$B:$B,"&gt;="&amp;INT($B1086),$B:$B,"&lt;"&amp;(INT($B1086)+1)))</f>
        <v/>
      </c>
      <c r="F1086" s="19" t="str">
        <f aca="false">IF($A1086="","",IF(ISNA(MATCH($H1086,Buffers!$AE:$AE,0)),"Not on Buffers",IF(NOT(ISNUMBER($B1086)),"Needs a date",IF(INT($B1086)&lt;PlanDate,"Past due",IF(INT($B1086)=PlanDate,"Due today",IF(AND(INDEX(Buffers!$L:$L,MATCH($H1086,Buffers!$AE:$AE,0))="Planned",$E1086&gt;0,INT($B1086)&lt;=PlanDate+ROUNDUP(IF(ISNUMBER(SpikeHorizon),SpikeHorizon,INDEX(Buffers!$D:$D,MATCH($H1086,Buffers!$AE:$AE,0))),0),$E1086&gt;=SpikePct*INDEX(Buffers!$P:$P,MATCH($H1086,Buffers!$AE:$AE,0))),"Spike","Not qualified"))))))</f>
        <v/>
      </c>
      <c r="G1086" s="8" t="str">
        <f aca="false">IF($A1086="","",IF(OR($F1086="Past due",$F1086="Due today",$F1086="Spike"),$C1086,0))</f>
        <v/>
      </c>
      <c r="H1086" s="8" t="str">
        <f aca="false">IF($A1086="","",SUBSTITUTE(SUBSTITUTE(SUBSTITUTE($A1086&amp;"","~","~~"),"*","~*"),"?","~?"))</f>
        <v/>
      </c>
    </row>
    <row r="1087" customFormat="false" ht="15" hidden="false" customHeight="false" outlineLevel="0" collapsed="false">
      <c r="A1087" s="11"/>
      <c r="B1087" s="6"/>
      <c r="C1087" s="11"/>
      <c r="D1087" s="11"/>
      <c r="E1087" s="8" t="str">
        <f aca="false">IF($A1087="","",SUMIFS($C:$C,$A:$A,$H1087,$B:$B,"&gt;="&amp;INT($B1087),$B:$B,"&lt;"&amp;(INT($B1087)+1)))</f>
        <v/>
      </c>
      <c r="F1087" s="19" t="str">
        <f aca="false">IF($A1087="","",IF(ISNA(MATCH($H1087,Buffers!$AE:$AE,0)),"Not on Buffers",IF(NOT(ISNUMBER($B1087)),"Needs a date",IF(INT($B1087)&lt;PlanDate,"Past due",IF(INT($B1087)=PlanDate,"Due today",IF(AND(INDEX(Buffers!$L:$L,MATCH($H1087,Buffers!$AE:$AE,0))="Planned",$E1087&gt;0,INT($B1087)&lt;=PlanDate+ROUNDUP(IF(ISNUMBER(SpikeHorizon),SpikeHorizon,INDEX(Buffers!$D:$D,MATCH($H1087,Buffers!$AE:$AE,0))),0),$E1087&gt;=SpikePct*INDEX(Buffers!$P:$P,MATCH($H1087,Buffers!$AE:$AE,0))),"Spike","Not qualified"))))))</f>
        <v/>
      </c>
      <c r="G1087" s="8" t="str">
        <f aca="false">IF($A1087="","",IF(OR($F1087="Past due",$F1087="Due today",$F1087="Spike"),$C1087,0))</f>
        <v/>
      </c>
      <c r="H1087" s="8" t="str">
        <f aca="false">IF($A1087="","",SUBSTITUTE(SUBSTITUTE(SUBSTITUTE($A1087&amp;"","~","~~"),"*","~*"),"?","~?"))</f>
        <v/>
      </c>
    </row>
    <row r="1088" customFormat="false" ht="15" hidden="false" customHeight="false" outlineLevel="0" collapsed="false">
      <c r="A1088" s="11"/>
      <c r="B1088" s="6"/>
      <c r="C1088" s="11"/>
      <c r="D1088" s="11"/>
      <c r="E1088" s="8" t="str">
        <f aca="false">IF($A1088="","",SUMIFS($C:$C,$A:$A,$H1088,$B:$B,"&gt;="&amp;INT($B1088),$B:$B,"&lt;"&amp;(INT($B1088)+1)))</f>
        <v/>
      </c>
      <c r="F1088" s="19" t="str">
        <f aca="false">IF($A1088="","",IF(ISNA(MATCH($H1088,Buffers!$AE:$AE,0)),"Not on Buffers",IF(NOT(ISNUMBER($B1088)),"Needs a date",IF(INT($B1088)&lt;PlanDate,"Past due",IF(INT($B1088)=PlanDate,"Due today",IF(AND(INDEX(Buffers!$L:$L,MATCH($H1088,Buffers!$AE:$AE,0))="Planned",$E1088&gt;0,INT($B1088)&lt;=PlanDate+ROUNDUP(IF(ISNUMBER(SpikeHorizon),SpikeHorizon,INDEX(Buffers!$D:$D,MATCH($H1088,Buffers!$AE:$AE,0))),0),$E1088&gt;=SpikePct*INDEX(Buffers!$P:$P,MATCH($H1088,Buffers!$AE:$AE,0))),"Spike","Not qualified"))))))</f>
        <v/>
      </c>
      <c r="G1088" s="8" t="str">
        <f aca="false">IF($A1088="","",IF(OR($F1088="Past due",$F1088="Due today",$F1088="Spike"),$C1088,0))</f>
        <v/>
      </c>
      <c r="H1088" s="8" t="str">
        <f aca="false">IF($A1088="","",SUBSTITUTE(SUBSTITUTE(SUBSTITUTE($A1088&amp;"","~","~~"),"*","~*"),"?","~?"))</f>
        <v/>
      </c>
    </row>
    <row r="1089" customFormat="false" ht="15" hidden="false" customHeight="false" outlineLevel="0" collapsed="false">
      <c r="A1089" s="11"/>
      <c r="B1089" s="6"/>
      <c r="C1089" s="11"/>
      <c r="D1089" s="11"/>
      <c r="E1089" s="8" t="str">
        <f aca="false">IF($A1089="","",SUMIFS($C:$C,$A:$A,$H1089,$B:$B,"&gt;="&amp;INT($B1089),$B:$B,"&lt;"&amp;(INT($B1089)+1)))</f>
        <v/>
      </c>
      <c r="F1089" s="19" t="str">
        <f aca="false">IF($A1089="","",IF(ISNA(MATCH($H1089,Buffers!$AE:$AE,0)),"Not on Buffers",IF(NOT(ISNUMBER($B1089)),"Needs a date",IF(INT($B1089)&lt;PlanDate,"Past due",IF(INT($B1089)=PlanDate,"Due today",IF(AND(INDEX(Buffers!$L:$L,MATCH($H1089,Buffers!$AE:$AE,0))="Planned",$E1089&gt;0,INT($B1089)&lt;=PlanDate+ROUNDUP(IF(ISNUMBER(SpikeHorizon),SpikeHorizon,INDEX(Buffers!$D:$D,MATCH($H1089,Buffers!$AE:$AE,0))),0),$E1089&gt;=SpikePct*INDEX(Buffers!$P:$P,MATCH($H1089,Buffers!$AE:$AE,0))),"Spike","Not qualified"))))))</f>
        <v/>
      </c>
      <c r="G1089" s="8" t="str">
        <f aca="false">IF($A1089="","",IF(OR($F1089="Past due",$F1089="Due today",$F1089="Spike"),$C1089,0))</f>
        <v/>
      </c>
      <c r="H1089" s="8" t="str">
        <f aca="false">IF($A1089="","",SUBSTITUTE(SUBSTITUTE(SUBSTITUTE($A1089&amp;"","~","~~"),"*","~*"),"?","~?"))</f>
        <v/>
      </c>
    </row>
    <row r="1090" customFormat="false" ht="15" hidden="false" customHeight="false" outlineLevel="0" collapsed="false">
      <c r="A1090" s="11"/>
      <c r="B1090" s="6"/>
      <c r="C1090" s="11"/>
      <c r="D1090" s="11"/>
      <c r="E1090" s="8" t="str">
        <f aca="false">IF($A1090="","",SUMIFS($C:$C,$A:$A,$H1090,$B:$B,"&gt;="&amp;INT($B1090),$B:$B,"&lt;"&amp;(INT($B1090)+1)))</f>
        <v/>
      </c>
      <c r="F1090" s="19" t="str">
        <f aca="false">IF($A1090="","",IF(ISNA(MATCH($H1090,Buffers!$AE:$AE,0)),"Not on Buffers",IF(NOT(ISNUMBER($B1090)),"Needs a date",IF(INT($B1090)&lt;PlanDate,"Past due",IF(INT($B1090)=PlanDate,"Due today",IF(AND(INDEX(Buffers!$L:$L,MATCH($H1090,Buffers!$AE:$AE,0))="Planned",$E1090&gt;0,INT($B1090)&lt;=PlanDate+ROUNDUP(IF(ISNUMBER(SpikeHorizon),SpikeHorizon,INDEX(Buffers!$D:$D,MATCH($H1090,Buffers!$AE:$AE,0))),0),$E1090&gt;=SpikePct*INDEX(Buffers!$P:$P,MATCH($H1090,Buffers!$AE:$AE,0))),"Spike","Not qualified"))))))</f>
        <v/>
      </c>
      <c r="G1090" s="8" t="str">
        <f aca="false">IF($A1090="","",IF(OR($F1090="Past due",$F1090="Due today",$F1090="Spike"),$C1090,0))</f>
        <v/>
      </c>
      <c r="H1090" s="8" t="str">
        <f aca="false">IF($A1090="","",SUBSTITUTE(SUBSTITUTE(SUBSTITUTE($A1090&amp;"","~","~~"),"*","~*"),"?","~?"))</f>
        <v/>
      </c>
    </row>
    <row r="1091" customFormat="false" ht="15" hidden="false" customHeight="false" outlineLevel="0" collapsed="false">
      <c r="A1091" s="11"/>
      <c r="B1091" s="6"/>
      <c r="C1091" s="11"/>
      <c r="D1091" s="11"/>
      <c r="E1091" s="8" t="str">
        <f aca="false">IF($A1091="","",SUMIFS($C:$C,$A:$A,$H1091,$B:$B,"&gt;="&amp;INT($B1091),$B:$B,"&lt;"&amp;(INT($B1091)+1)))</f>
        <v/>
      </c>
      <c r="F1091" s="19" t="str">
        <f aca="false">IF($A1091="","",IF(ISNA(MATCH($H1091,Buffers!$AE:$AE,0)),"Not on Buffers",IF(NOT(ISNUMBER($B1091)),"Needs a date",IF(INT($B1091)&lt;PlanDate,"Past due",IF(INT($B1091)=PlanDate,"Due today",IF(AND(INDEX(Buffers!$L:$L,MATCH($H1091,Buffers!$AE:$AE,0))="Planned",$E1091&gt;0,INT($B1091)&lt;=PlanDate+ROUNDUP(IF(ISNUMBER(SpikeHorizon),SpikeHorizon,INDEX(Buffers!$D:$D,MATCH($H1091,Buffers!$AE:$AE,0))),0),$E1091&gt;=SpikePct*INDEX(Buffers!$P:$P,MATCH($H1091,Buffers!$AE:$AE,0))),"Spike","Not qualified"))))))</f>
        <v/>
      </c>
      <c r="G1091" s="8" t="str">
        <f aca="false">IF($A1091="","",IF(OR($F1091="Past due",$F1091="Due today",$F1091="Spike"),$C1091,0))</f>
        <v/>
      </c>
      <c r="H1091" s="8" t="str">
        <f aca="false">IF($A1091="","",SUBSTITUTE(SUBSTITUTE(SUBSTITUTE($A1091&amp;"","~","~~"),"*","~*"),"?","~?"))</f>
        <v/>
      </c>
    </row>
    <row r="1092" customFormat="false" ht="15" hidden="false" customHeight="false" outlineLevel="0" collapsed="false">
      <c r="A1092" s="11"/>
      <c r="B1092" s="6"/>
      <c r="C1092" s="11"/>
      <c r="D1092" s="11"/>
      <c r="E1092" s="8" t="str">
        <f aca="false">IF($A1092="","",SUMIFS($C:$C,$A:$A,$H1092,$B:$B,"&gt;="&amp;INT($B1092),$B:$B,"&lt;"&amp;(INT($B1092)+1)))</f>
        <v/>
      </c>
      <c r="F1092" s="19" t="str">
        <f aca="false">IF($A1092="","",IF(ISNA(MATCH($H1092,Buffers!$AE:$AE,0)),"Not on Buffers",IF(NOT(ISNUMBER($B1092)),"Needs a date",IF(INT($B1092)&lt;PlanDate,"Past due",IF(INT($B1092)=PlanDate,"Due today",IF(AND(INDEX(Buffers!$L:$L,MATCH($H1092,Buffers!$AE:$AE,0))="Planned",$E1092&gt;0,INT($B1092)&lt;=PlanDate+ROUNDUP(IF(ISNUMBER(SpikeHorizon),SpikeHorizon,INDEX(Buffers!$D:$D,MATCH($H1092,Buffers!$AE:$AE,0))),0),$E1092&gt;=SpikePct*INDEX(Buffers!$P:$P,MATCH($H1092,Buffers!$AE:$AE,0))),"Spike","Not qualified"))))))</f>
        <v/>
      </c>
      <c r="G1092" s="8" t="str">
        <f aca="false">IF($A1092="","",IF(OR($F1092="Past due",$F1092="Due today",$F1092="Spike"),$C1092,0))</f>
        <v/>
      </c>
      <c r="H1092" s="8" t="str">
        <f aca="false">IF($A1092="","",SUBSTITUTE(SUBSTITUTE(SUBSTITUTE($A1092&amp;"","~","~~"),"*","~*"),"?","~?"))</f>
        <v/>
      </c>
    </row>
    <row r="1093" customFormat="false" ht="15" hidden="false" customHeight="false" outlineLevel="0" collapsed="false">
      <c r="A1093" s="11"/>
      <c r="B1093" s="6"/>
      <c r="C1093" s="11"/>
      <c r="D1093" s="11"/>
      <c r="E1093" s="8" t="str">
        <f aca="false">IF($A1093="","",SUMIFS($C:$C,$A:$A,$H1093,$B:$B,"&gt;="&amp;INT($B1093),$B:$B,"&lt;"&amp;(INT($B1093)+1)))</f>
        <v/>
      </c>
      <c r="F1093" s="19" t="str">
        <f aca="false">IF($A1093="","",IF(ISNA(MATCH($H1093,Buffers!$AE:$AE,0)),"Not on Buffers",IF(NOT(ISNUMBER($B1093)),"Needs a date",IF(INT($B1093)&lt;PlanDate,"Past due",IF(INT($B1093)=PlanDate,"Due today",IF(AND(INDEX(Buffers!$L:$L,MATCH($H1093,Buffers!$AE:$AE,0))="Planned",$E1093&gt;0,INT($B1093)&lt;=PlanDate+ROUNDUP(IF(ISNUMBER(SpikeHorizon),SpikeHorizon,INDEX(Buffers!$D:$D,MATCH($H1093,Buffers!$AE:$AE,0))),0),$E1093&gt;=SpikePct*INDEX(Buffers!$P:$P,MATCH($H1093,Buffers!$AE:$AE,0))),"Spike","Not qualified"))))))</f>
        <v/>
      </c>
      <c r="G1093" s="8" t="str">
        <f aca="false">IF($A1093="","",IF(OR($F1093="Past due",$F1093="Due today",$F1093="Spike"),$C1093,0))</f>
        <v/>
      </c>
      <c r="H1093" s="8" t="str">
        <f aca="false">IF($A1093="","",SUBSTITUTE(SUBSTITUTE(SUBSTITUTE($A1093&amp;"","~","~~"),"*","~*"),"?","~?"))</f>
        <v/>
      </c>
    </row>
    <row r="1094" customFormat="false" ht="15" hidden="false" customHeight="false" outlineLevel="0" collapsed="false">
      <c r="A1094" s="11"/>
      <c r="B1094" s="6"/>
      <c r="C1094" s="11"/>
      <c r="D1094" s="11"/>
      <c r="E1094" s="8" t="str">
        <f aca="false">IF($A1094="","",SUMIFS($C:$C,$A:$A,$H1094,$B:$B,"&gt;="&amp;INT($B1094),$B:$B,"&lt;"&amp;(INT($B1094)+1)))</f>
        <v/>
      </c>
      <c r="F1094" s="19" t="str">
        <f aca="false">IF($A1094="","",IF(ISNA(MATCH($H1094,Buffers!$AE:$AE,0)),"Not on Buffers",IF(NOT(ISNUMBER($B1094)),"Needs a date",IF(INT($B1094)&lt;PlanDate,"Past due",IF(INT($B1094)=PlanDate,"Due today",IF(AND(INDEX(Buffers!$L:$L,MATCH($H1094,Buffers!$AE:$AE,0))="Planned",$E1094&gt;0,INT($B1094)&lt;=PlanDate+ROUNDUP(IF(ISNUMBER(SpikeHorizon),SpikeHorizon,INDEX(Buffers!$D:$D,MATCH($H1094,Buffers!$AE:$AE,0))),0),$E1094&gt;=SpikePct*INDEX(Buffers!$P:$P,MATCH($H1094,Buffers!$AE:$AE,0))),"Spike","Not qualified"))))))</f>
        <v/>
      </c>
      <c r="G1094" s="8" t="str">
        <f aca="false">IF($A1094="","",IF(OR($F1094="Past due",$F1094="Due today",$F1094="Spike"),$C1094,0))</f>
        <v/>
      </c>
      <c r="H1094" s="8" t="str">
        <f aca="false">IF($A1094="","",SUBSTITUTE(SUBSTITUTE(SUBSTITUTE($A1094&amp;"","~","~~"),"*","~*"),"?","~?"))</f>
        <v/>
      </c>
    </row>
    <row r="1095" customFormat="false" ht="15" hidden="false" customHeight="false" outlineLevel="0" collapsed="false">
      <c r="A1095" s="11"/>
      <c r="B1095" s="6"/>
      <c r="C1095" s="11"/>
      <c r="D1095" s="11"/>
      <c r="E1095" s="8" t="str">
        <f aca="false">IF($A1095="","",SUMIFS($C:$C,$A:$A,$H1095,$B:$B,"&gt;="&amp;INT($B1095),$B:$B,"&lt;"&amp;(INT($B1095)+1)))</f>
        <v/>
      </c>
      <c r="F1095" s="19" t="str">
        <f aca="false">IF($A1095="","",IF(ISNA(MATCH($H1095,Buffers!$AE:$AE,0)),"Not on Buffers",IF(NOT(ISNUMBER($B1095)),"Needs a date",IF(INT($B1095)&lt;PlanDate,"Past due",IF(INT($B1095)=PlanDate,"Due today",IF(AND(INDEX(Buffers!$L:$L,MATCH($H1095,Buffers!$AE:$AE,0))="Planned",$E1095&gt;0,INT($B1095)&lt;=PlanDate+ROUNDUP(IF(ISNUMBER(SpikeHorizon),SpikeHorizon,INDEX(Buffers!$D:$D,MATCH($H1095,Buffers!$AE:$AE,0))),0),$E1095&gt;=SpikePct*INDEX(Buffers!$P:$P,MATCH($H1095,Buffers!$AE:$AE,0))),"Spike","Not qualified"))))))</f>
        <v/>
      </c>
      <c r="G1095" s="8" t="str">
        <f aca="false">IF($A1095="","",IF(OR($F1095="Past due",$F1095="Due today",$F1095="Spike"),$C1095,0))</f>
        <v/>
      </c>
      <c r="H1095" s="8" t="str">
        <f aca="false">IF($A1095="","",SUBSTITUTE(SUBSTITUTE(SUBSTITUTE($A1095&amp;"","~","~~"),"*","~*"),"?","~?"))</f>
        <v/>
      </c>
    </row>
    <row r="1096" customFormat="false" ht="15" hidden="false" customHeight="false" outlineLevel="0" collapsed="false">
      <c r="A1096" s="11"/>
      <c r="B1096" s="6"/>
      <c r="C1096" s="11"/>
      <c r="D1096" s="11"/>
      <c r="E1096" s="8" t="str">
        <f aca="false">IF($A1096="","",SUMIFS($C:$C,$A:$A,$H1096,$B:$B,"&gt;="&amp;INT($B1096),$B:$B,"&lt;"&amp;(INT($B1096)+1)))</f>
        <v/>
      </c>
      <c r="F1096" s="19" t="str">
        <f aca="false">IF($A1096="","",IF(ISNA(MATCH($H1096,Buffers!$AE:$AE,0)),"Not on Buffers",IF(NOT(ISNUMBER($B1096)),"Needs a date",IF(INT($B1096)&lt;PlanDate,"Past due",IF(INT($B1096)=PlanDate,"Due today",IF(AND(INDEX(Buffers!$L:$L,MATCH($H1096,Buffers!$AE:$AE,0))="Planned",$E1096&gt;0,INT($B1096)&lt;=PlanDate+ROUNDUP(IF(ISNUMBER(SpikeHorizon),SpikeHorizon,INDEX(Buffers!$D:$D,MATCH($H1096,Buffers!$AE:$AE,0))),0),$E1096&gt;=SpikePct*INDEX(Buffers!$P:$P,MATCH($H1096,Buffers!$AE:$AE,0))),"Spike","Not qualified"))))))</f>
        <v/>
      </c>
      <c r="G1096" s="8" t="str">
        <f aca="false">IF($A1096="","",IF(OR($F1096="Past due",$F1096="Due today",$F1096="Spike"),$C1096,0))</f>
        <v/>
      </c>
      <c r="H1096" s="8" t="str">
        <f aca="false">IF($A1096="","",SUBSTITUTE(SUBSTITUTE(SUBSTITUTE($A1096&amp;"","~","~~"),"*","~*"),"?","~?"))</f>
        <v/>
      </c>
    </row>
    <row r="1097" customFormat="false" ht="15" hidden="false" customHeight="false" outlineLevel="0" collapsed="false">
      <c r="A1097" s="11"/>
      <c r="B1097" s="6"/>
      <c r="C1097" s="11"/>
      <c r="D1097" s="11"/>
      <c r="E1097" s="8" t="str">
        <f aca="false">IF($A1097="","",SUMIFS($C:$C,$A:$A,$H1097,$B:$B,"&gt;="&amp;INT($B1097),$B:$B,"&lt;"&amp;(INT($B1097)+1)))</f>
        <v/>
      </c>
      <c r="F1097" s="19" t="str">
        <f aca="false">IF($A1097="","",IF(ISNA(MATCH($H1097,Buffers!$AE:$AE,0)),"Not on Buffers",IF(NOT(ISNUMBER($B1097)),"Needs a date",IF(INT($B1097)&lt;PlanDate,"Past due",IF(INT($B1097)=PlanDate,"Due today",IF(AND(INDEX(Buffers!$L:$L,MATCH($H1097,Buffers!$AE:$AE,0))="Planned",$E1097&gt;0,INT($B1097)&lt;=PlanDate+ROUNDUP(IF(ISNUMBER(SpikeHorizon),SpikeHorizon,INDEX(Buffers!$D:$D,MATCH($H1097,Buffers!$AE:$AE,0))),0),$E1097&gt;=SpikePct*INDEX(Buffers!$P:$P,MATCH($H1097,Buffers!$AE:$AE,0))),"Spike","Not qualified"))))))</f>
        <v/>
      </c>
      <c r="G1097" s="8" t="str">
        <f aca="false">IF($A1097="","",IF(OR($F1097="Past due",$F1097="Due today",$F1097="Spike"),$C1097,0))</f>
        <v/>
      </c>
      <c r="H1097" s="8" t="str">
        <f aca="false">IF($A1097="","",SUBSTITUTE(SUBSTITUTE(SUBSTITUTE($A1097&amp;"","~","~~"),"*","~*"),"?","~?"))</f>
        <v/>
      </c>
    </row>
    <row r="1098" customFormat="false" ht="15" hidden="false" customHeight="false" outlineLevel="0" collapsed="false">
      <c r="A1098" s="11"/>
      <c r="B1098" s="6"/>
      <c r="C1098" s="11"/>
      <c r="D1098" s="11"/>
      <c r="E1098" s="8" t="str">
        <f aca="false">IF($A1098="","",SUMIFS($C:$C,$A:$A,$H1098,$B:$B,"&gt;="&amp;INT($B1098),$B:$B,"&lt;"&amp;(INT($B1098)+1)))</f>
        <v/>
      </c>
      <c r="F1098" s="19" t="str">
        <f aca="false">IF($A1098="","",IF(ISNA(MATCH($H1098,Buffers!$AE:$AE,0)),"Not on Buffers",IF(NOT(ISNUMBER($B1098)),"Needs a date",IF(INT($B1098)&lt;PlanDate,"Past due",IF(INT($B1098)=PlanDate,"Due today",IF(AND(INDEX(Buffers!$L:$L,MATCH($H1098,Buffers!$AE:$AE,0))="Planned",$E1098&gt;0,INT($B1098)&lt;=PlanDate+ROUNDUP(IF(ISNUMBER(SpikeHorizon),SpikeHorizon,INDEX(Buffers!$D:$D,MATCH($H1098,Buffers!$AE:$AE,0))),0),$E1098&gt;=SpikePct*INDEX(Buffers!$P:$P,MATCH($H1098,Buffers!$AE:$AE,0))),"Spike","Not qualified"))))))</f>
        <v/>
      </c>
      <c r="G1098" s="8" t="str">
        <f aca="false">IF($A1098="","",IF(OR($F1098="Past due",$F1098="Due today",$F1098="Spike"),$C1098,0))</f>
        <v/>
      </c>
      <c r="H1098" s="8" t="str">
        <f aca="false">IF($A1098="","",SUBSTITUTE(SUBSTITUTE(SUBSTITUTE($A1098&amp;"","~","~~"),"*","~*"),"?","~?"))</f>
        <v/>
      </c>
    </row>
    <row r="1099" customFormat="false" ht="15" hidden="false" customHeight="false" outlineLevel="0" collapsed="false">
      <c r="A1099" s="11"/>
      <c r="B1099" s="6"/>
      <c r="C1099" s="11"/>
      <c r="D1099" s="11"/>
      <c r="E1099" s="8" t="str">
        <f aca="false">IF($A1099="","",SUMIFS($C:$C,$A:$A,$H1099,$B:$B,"&gt;="&amp;INT($B1099),$B:$B,"&lt;"&amp;(INT($B1099)+1)))</f>
        <v/>
      </c>
      <c r="F1099" s="19" t="str">
        <f aca="false">IF($A1099="","",IF(ISNA(MATCH($H1099,Buffers!$AE:$AE,0)),"Not on Buffers",IF(NOT(ISNUMBER($B1099)),"Needs a date",IF(INT($B1099)&lt;PlanDate,"Past due",IF(INT($B1099)=PlanDate,"Due today",IF(AND(INDEX(Buffers!$L:$L,MATCH($H1099,Buffers!$AE:$AE,0))="Planned",$E1099&gt;0,INT($B1099)&lt;=PlanDate+ROUNDUP(IF(ISNUMBER(SpikeHorizon),SpikeHorizon,INDEX(Buffers!$D:$D,MATCH($H1099,Buffers!$AE:$AE,0))),0),$E1099&gt;=SpikePct*INDEX(Buffers!$P:$P,MATCH($H1099,Buffers!$AE:$AE,0))),"Spike","Not qualified"))))))</f>
        <v/>
      </c>
      <c r="G1099" s="8" t="str">
        <f aca="false">IF($A1099="","",IF(OR($F1099="Past due",$F1099="Due today",$F1099="Spike"),$C1099,0))</f>
        <v/>
      </c>
      <c r="H1099" s="8" t="str">
        <f aca="false">IF($A1099="","",SUBSTITUTE(SUBSTITUTE(SUBSTITUTE($A1099&amp;"","~","~~"),"*","~*"),"?","~?"))</f>
        <v/>
      </c>
    </row>
    <row r="1100" customFormat="false" ht="15" hidden="false" customHeight="false" outlineLevel="0" collapsed="false">
      <c r="A1100" s="11"/>
      <c r="B1100" s="6"/>
      <c r="C1100" s="11"/>
      <c r="D1100" s="11"/>
      <c r="E1100" s="8" t="str">
        <f aca="false">IF($A1100="","",SUMIFS($C:$C,$A:$A,$H1100,$B:$B,"&gt;="&amp;INT($B1100),$B:$B,"&lt;"&amp;(INT($B1100)+1)))</f>
        <v/>
      </c>
      <c r="F1100" s="19" t="str">
        <f aca="false">IF($A1100="","",IF(ISNA(MATCH($H1100,Buffers!$AE:$AE,0)),"Not on Buffers",IF(NOT(ISNUMBER($B1100)),"Needs a date",IF(INT($B1100)&lt;PlanDate,"Past due",IF(INT($B1100)=PlanDate,"Due today",IF(AND(INDEX(Buffers!$L:$L,MATCH($H1100,Buffers!$AE:$AE,0))="Planned",$E1100&gt;0,INT($B1100)&lt;=PlanDate+ROUNDUP(IF(ISNUMBER(SpikeHorizon),SpikeHorizon,INDEX(Buffers!$D:$D,MATCH($H1100,Buffers!$AE:$AE,0))),0),$E1100&gt;=SpikePct*INDEX(Buffers!$P:$P,MATCH($H1100,Buffers!$AE:$AE,0))),"Spike","Not qualified"))))))</f>
        <v/>
      </c>
      <c r="G1100" s="8" t="str">
        <f aca="false">IF($A1100="","",IF(OR($F1100="Past due",$F1100="Due today",$F1100="Spike"),$C1100,0))</f>
        <v/>
      </c>
      <c r="H1100" s="8" t="str">
        <f aca="false">IF($A1100="","",SUBSTITUTE(SUBSTITUTE(SUBSTITUTE($A1100&amp;"","~","~~"),"*","~*"),"?","~?"))</f>
        <v/>
      </c>
    </row>
    <row r="1101" customFormat="false" ht="15" hidden="false" customHeight="false" outlineLevel="0" collapsed="false">
      <c r="A1101" s="11"/>
      <c r="B1101" s="6"/>
      <c r="C1101" s="11"/>
      <c r="D1101" s="11"/>
      <c r="E1101" s="8" t="str">
        <f aca="false">IF($A1101="","",SUMIFS($C:$C,$A:$A,$H1101,$B:$B,"&gt;="&amp;INT($B1101),$B:$B,"&lt;"&amp;(INT($B1101)+1)))</f>
        <v/>
      </c>
      <c r="F1101" s="19" t="str">
        <f aca="false">IF($A1101="","",IF(ISNA(MATCH($H1101,Buffers!$AE:$AE,0)),"Not on Buffers",IF(NOT(ISNUMBER($B1101)),"Needs a date",IF(INT($B1101)&lt;PlanDate,"Past due",IF(INT($B1101)=PlanDate,"Due today",IF(AND(INDEX(Buffers!$L:$L,MATCH($H1101,Buffers!$AE:$AE,0))="Planned",$E1101&gt;0,INT($B1101)&lt;=PlanDate+ROUNDUP(IF(ISNUMBER(SpikeHorizon),SpikeHorizon,INDEX(Buffers!$D:$D,MATCH($H1101,Buffers!$AE:$AE,0))),0),$E1101&gt;=SpikePct*INDEX(Buffers!$P:$P,MATCH($H1101,Buffers!$AE:$AE,0))),"Spike","Not qualified"))))))</f>
        <v/>
      </c>
      <c r="G1101" s="8" t="str">
        <f aca="false">IF($A1101="","",IF(OR($F1101="Past due",$F1101="Due today",$F1101="Spike"),$C1101,0))</f>
        <v/>
      </c>
      <c r="H1101" s="8" t="str">
        <f aca="false">IF($A1101="","",SUBSTITUTE(SUBSTITUTE(SUBSTITUTE($A1101&amp;"","~","~~"),"*","~*"),"?","~?"))</f>
        <v/>
      </c>
    </row>
    <row r="1102" customFormat="false" ht="15" hidden="false" customHeight="false" outlineLevel="0" collapsed="false">
      <c r="A1102" s="11"/>
      <c r="B1102" s="6"/>
      <c r="C1102" s="11"/>
      <c r="D1102" s="11"/>
      <c r="E1102" s="8" t="str">
        <f aca="false">IF($A1102="","",SUMIFS($C:$C,$A:$A,$H1102,$B:$B,"&gt;="&amp;INT($B1102),$B:$B,"&lt;"&amp;(INT($B1102)+1)))</f>
        <v/>
      </c>
      <c r="F1102" s="19" t="str">
        <f aca="false">IF($A1102="","",IF(ISNA(MATCH($H1102,Buffers!$AE:$AE,0)),"Not on Buffers",IF(NOT(ISNUMBER($B1102)),"Needs a date",IF(INT($B1102)&lt;PlanDate,"Past due",IF(INT($B1102)=PlanDate,"Due today",IF(AND(INDEX(Buffers!$L:$L,MATCH($H1102,Buffers!$AE:$AE,0))="Planned",$E1102&gt;0,INT($B1102)&lt;=PlanDate+ROUNDUP(IF(ISNUMBER(SpikeHorizon),SpikeHorizon,INDEX(Buffers!$D:$D,MATCH($H1102,Buffers!$AE:$AE,0))),0),$E1102&gt;=SpikePct*INDEX(Buffers!$P:$P,MATCH($H1102,Buffers!$AE:$AE,0))),"Spike","Not qualified"))))))</f>
        <v/>
      </c>
      <c r="G1102" s="8" t="str">
        <f aca="false">IF($A1102="","",IF(OR($F1102="Past due",$F1102="Due today",$F1102="Spike"),$C1102,0))</f>
        <v/>
      </c>
      <c r="H1102" s="8" t="str">
        <f aca="false">IF($A1102="","",SUBSTITUTE(SUBSTITUTE(SUBSTITUTE($A1102&amp;"","~","~~"),"*","~*"),"?","~?"))</f>
        <v/>
      </c>
    </row>
    <row r="1103" customFormat="false" ht="15" hidden="false" customHeight="false" outlineLevel="0" collapsed="false">
      <c r="A1103" s="11"/>
      <c r="B1103" s="6"/>
      <c r="C1103" s="11"/>
      <c r="D1103" s="11"/>
      <c r="E1103" s="8" t="str">
        <f aca="false">IF($A1103="","",SUMIFS($C:$C,$A:$A,$H1103,$B:$B,"&gt;="&amp;INT($B1103),$B:$B,"&lt;"&amp;(INT($B1103)+1)))</f>
        <v/>
      </c>
      <c r="F1103" s="19" t="str">
        <f aca="false">IF($A1103="","",IF(ISNA(MATCH($H1103,Buffers!$AE:$AE,0)),"Not on Buffers",IF(NOT(ISNUMBER($B1103)),"Needs a date",IF(INT($B1103)&lt;PlanDate,"Past due",IF(INT($B1103)=PlanDate,"Due today",IF(AND(INDEX(Buffers!$L:$L,MATCH($H1103,Buffers!$AE:$AE,0))="Planned",$E1103&gt;0,INT($B1103)&lt;=PlanDate+ROUNDUP(IF(ISNUMBER(SpikeHorizon),SpikeHorizon,INDEX(Buffers!$D:$D,MATCH($H1103,Buffers!$AE:$AE,0))),0),$E1103&gt;=SpikePct*INDEX(Buffers!$P:$P,MATCH($H1103,Buffers!$AE:$AE,0))),"Spike","Not qualified"))))))</f>
        <v/>
      </c>
      <c r="G1103" s="8" t="str">
        <f aca="false">IF($A1103="","",IF(OR($F1103="Past due",$F1103="Due today",$F1103="Spike"),$C1103,0))</f>
        <v/>
      </c>
      <c r="H1103" s="8" t="str">
        <f aca="false">IF($A1103="","",SUBSTITUTE(SUBSTITUTE(SUBSTITUTE($A1103&amp;"","~","~~"),"*","~*"),"?","~?"))</f>
        <v/>
      </c>
    </row>
    <row r="1104" customFormat="false" ht="15" hidden="false" customHeight="false" outlineLevel="0" collapsed="false">
      <c r="A1104" s="11"/>
      <c r="B1104" s="6"/>
      <c r="C1104" s="11"/>
      <c r="D1104" s="11"/>
      <c r="E1104" s="8" t="str">
        <f aca="false">IF($A1104="","",SUMIFS($C:$C,$A:$A,$H1104,$B:$B,"&gt;="&amp;INT($B1104),$B:$B,"&lt;"&amp;(INT($B1104)+1)))</f>
        <v/>
      </c>
      <c r="F1104" s="19" t="str">
        <f aca="false">IF($A1104="","",IF(ISNA(MATCH($H1104,Buffers!$AE:$AE,0)),"Not on Buffers",IF(NOT(ISNUMBER($B1104)),"Needs a date",IF(INT($B1104)&lt;PlanDate,"Past due",IF(INT($B1104)=PlanDate,"Due today",IF(AND(INDEX(Buffers!$L:$L,MATCH($H1104,Buffers!$AE:$AE,0))="Planned",$E1104&gt;0,INT($B1104)&lt;=PlanDate+ROUNDUP(IF(ISNUMBER(SpikeHorizon),SpikeHorizon,INDEX(Buffers!$D:$D,MATCH($H1104,Buffers!$AE:$AE,0))),0),$E1104&gt;=SpikePct*INDEX(Buffers!$P:$P,MATCH($H1104,Buffers!$AE:$AE,0))),"Spike","Not qualified"))))))</f>
        <v/>
      </c>
      <c r="G1104" s="8" t="str">
        <f aca="false">IF($A1104="","",IF(OR($F1104="Past due",$F1104="Due today",$F1104="Spike"),$C1104,0))</f>
        <v/>
      </c>
      <c r="H1104" s="8" t="str">
        <f aca="false">IF($A1104="","",SUBSTITUTE(SUBSTITUTE(SUBSTITUTE($A1104&amp;"","~","~~"),"*","~*"),"?","~?"))</f>
        <v/>
      </c>
    </row>
    <row r="1105" customFormat="false" ht="15" hidden="false" customHeight="false" outlineLevel="0" collapsed="false">
      <c r="A1105" s="11"/>
      <c r="B1105" s="6"/>
      <c r="C1105" s="11"/>
      <c r="D1105" s="11"/>
      <c r="E1105" s="8" t="str">
        <f aca="false">IF($A1105="","",SUMIFS($C:$C,$A:$A,$H1105,$B:$B,"&gt;="&amp;INT($B1105),$B:$B,"&lt;"&amp;(INT($B1105)+1)))</f>
        <v/>
      </c>
      <c r="F1105" s="19" t="str">
        <f aca="false">IF($A1105="","",IF(ISNA(MATCH($H1105,Buffers!$AE:$AE,0)),"Not on Buffers",IF(NOT(ISNUMBER($B1105)),"Needs a date",IF(INT($B1105)&lt;PlanDate,"Past due",IF(INT($B1105)=PlanDate,"Due today",IF(AND(INDEX(Buffers!$L:$L,MATCH($H1105,Buffers!$AE:$AE,0))="Planned",$E1105&gt;0,INT($B1105)&lt;=PlanDate+ROUNDUP(IF(ISNUMBER(SpikeHorizon),SpikeHorizon,INDEX(Buffers!$D:$D,MATCH($H1105,Buffers!$AE:$AE,0))),0),$E1105&gt;=SpikePct*INDEX(Buffers!$P:$P,MATCH($H1105,Buffers!$AE:$AE,0))),"Spike","Not qualified"))))))</f>
        <v/>
      </c>
      <c r="G1105" s="8" t="str">
        <f aca="false">IF($A1105="","",IF(OR($F1105="Past due",$F1105="Due today",$F1105="Spike"),$C1105,0))</f>
        <v/>
      </c>
      <c r="H1105" s="8" t="str">
        <f aca="false">IF($A1105="","",SUBSTITUTE(SUBSTITUTE(SUBSTITUTE($A1105&amp;"","~","~~"),"*","~*"),"?","~?"))</f>
        <v/>
      </c>
    </row>
    <row r="1106" customFormat="false" ht="15" hidden="false" customHeight="false" outlineLevel="0" collapsed="false">
      <c r="A1106" s="11"/>
      <c r="B1106" s="6"/>
      <c r="C1106" s="11"/>
      <c r="D1106" s="11"/>
      <c r="E1106" s="8" t="str">
        <f aca="false">IF($A1106="","",SUMIFS($C:$C,$A:$A,$H1106,$B:$B,"&gt;="&amp;INT($B1106),$B:$B,"&lt;"&amp;(INT($B1106)+1)))</f>
        <v/>
      </c>
      <c r="F1106" s="19" t="str">
        <f aca="false">IF($A1106="","",IF(ISNA(MATCH($H1106,Buffers!$AE:$AE,0)),"Not on Buffers",IF(NOT(ISNUMBER($B1106)),"Needs a date",IF(INT($B1106)&lt;PlanDate,"Past due",IF(INT($B1106)=PlanDate,"Due today",IF(AND(INDEX(Buffers!$L:$L,MATCH($H1106,Buffers!$AE:$AE,0))="Planned",$E1106&gt;0,INT($B1106)&lt;=PlanDate+ROUNDUP(IF(ISNUMBER(SpikeHorizon),SpikeHorizon,INDEX(Buffers!$D:$D,MATCH($H1106,Buffers!$AE:$AE,0))),0),$E1106&gt;=SpikePct*INDEX(Buffers!$P:$P,MATCH($H1106,Buffers!$AE:$AE,0))),"Spike","Not qualified"))))))</f>
        <v/>
      </c>
      <c r="G1106" s="8" t="str">
        <f aca="false">IF($A1106="","",IF(OR($F1106="Past due",$F1106="Due today",$F1106="Spike"),$C1106,0))</f>
        <v/>
      </c>
      <c r="H1106" s="8" t="str">
        <f aca="false">IF($A1106="","",SUBSTITUTE(SUBSTITUTE(SUBSTITUTE($A1106&amp;"","~","~~"),"*","~*"),"?","~?"))</f>
        <v/>
      </c>
    </row>
    <row r="1107" customFormat="false" ht="15" hidden="false" customHeight="false" outlineLevel="0" collapsed="false">
      <c r="A1107" s="11"/>
      <c r="B1107" s="6"/>
      <c r="C1107" s="11"/>
      <c r="D1107" s="11"/>
      <c r="E1107" s="8" t="str">
        <f aca="false">IF($A1107="","",SUMIFS($C:$C,$A:$A,$H1107,$B:$B,"&gt;="&amp;INT($B1107),$B:$B,"&lt;"&amp;(INT($B1107)+1)))</f>
        <v/>
      </c>
      <c r="F1107" s="19" t="str">
        <f aca="false">IF($A1107="","",IF(ISNA(MATCH($H1107,Buffers!$AE:$AE,0)),"Not on Buffers",IF(NOT(ISNUMBER($B1107)),"Needs a date",IF(INT($B1107)&lt;PlanDate,"Past due",IF(INT($B1107)=PlanDate,"Due today",IF(AND(INDEX(Buffers!$L:$L,MATCH($H1107,Buffers!$AE:$AE,0))="Planned",$E1107&gt;0,INT($B1107)&lt;=PlanDate+ROUNDUP(IF(ISNUMBER(SpikeHorizon),SpikeHorizon,INDEX(Buffers!$D:$D,MATCH($H1107,Buffers!$AE:$AE,0))),0),$E1107&gt;=SpikePct*INDEX(Buffers!$P:$P,MATCH($H1107,Buffers!$AE:$AE,0))),"Spike","Not qualified"))))))</f>
        <v/>
      </c>
      <c r="G1107" s="8" t="str">
        <f aca="false">IF($A1107="","",IF(OR($F1107="Past due",$F1107="Due today",$F1107="Spike"),$C1107,0))</f>
        <v/>
      </c>
      <c r="H1107" s="8" t="str">
        <f aca="false">IF($A1107="","",SUBSTITUTE(SUBSTITUTE(SUBSTITUTE($A1107&amp;"","~","~~"),"*","~*"),"?","~?"))</f>
        <v/>
      </c>
    </row>
    <row r="1108" customFormat="false" ht="15" hidden="false" customHeight="false" outlineLevel="0" collapsed="false">
      <c r="A1108" s="11"/>
      <c r="B1108" s="6"/>
      <c r="C1108" s="11"/>
      <c r="D1108" s="11"/>
      <c r="E1108" s="8" t="str">
        <f aca="false">IF($A1108="","",SUMIFS($C:$C,$A:$A,$H1108,$B:$B,"&gt;="&amp;INT($B1108),$B:$B,"&lt;"&amp;(INT($B1108)+1)))</f>
        <v/>
      </c>
      <c r="F1108" s="19" t="str">
        <f aca="false">IF($A1108="","",IF(ISNA(MATCH($H1108,Buffers!$AE:$AE,0)),"Not on Buffers",IF(NOT(ISNUMBER($B1108)),"Needs a date",IF(INT($B1108)&lt;PlanDate,"Past due",IF(INT($B1108)=PlanDate,"Due today",IF(AND(INDEX(Buffers!$L:$L,MATCH($H1108,Buffers!$AE:$AE,0))="Planned",$E1108&gt;0,INT($B1108)&lt;=PlanDate+ROUNDUP(IF(ISNUMBER(SpikeHorizon),SpikeHorizon,INDEX(Buffers!$D:$D,MATCH($H1108,Buffers!$AE:$AE,0))),0),$E1108&gt;=SpikePct*INDEX(Buffers!$P:$P,MATCH($H1108,Buffers!$AE:$AE,0))),"Spike","Not qualified"))))))</f>
        <v/>
      </c>
      <c r="G1108" s="8" t="str">
        <f aca="false">IF($A1108="","",IF(OR($F1108="Past due",$F1108="Due today",$F1108="Spike"),$C1108,0))</f>
        <v/>
      </c>
      <c r="H1108" s="8" t="str">
        <f aca="false">IF($A1108="","",SUBSTITUTE(SUBSTITUTE(SUBSTITUTE($A1108&amp;"","~","~~"),"*","~*"),"?","~?"))</f>
        <v/>
      </c>
    </row>
    <row r="1109" customFormat="false" ht="15" hidden="false" customHeight="false" outlineLevel="0" collapsed="false">
      <c r="A1109" s="11"/>
      <c r="B1109" s="6"/>
      <c r="C1109" s="11"/>
      <c r="D1109" s="11"/>
      <c r="E1109" s="8" t="str">
        <f aca="false">IF($A1109="","",SUMIFS($C:$C,$A:$A,$H1109,$B:$B,"&gt;="&amp;INT($B1109),$B:$B,"&lt;"&amp;(INT($B1109)+1)))</f>
        <v/>
      </c>
      <c r="F1109" s="19" t="str">
        <f aca="false">IF($A1109="","",IF(ISNA(MATCH($H1109,Buffers!$AE:$AE,0)),"Not on Buffers",IF(NOT(ISNUMBER($B1109)),"Needs a date",IF(INT($B1109)&lt;PlanDate,"Past due",IF(INT($B1109)=PlanDate,"Due today",IF(AND(INDEX(Buffers!$L:$L,MATCH($H1109,Buffers!$AE:$AE,0))="Planned",$E1109&gt;0,INT($B1109)&lt;=PlanDate+ROUNDUP(IF(ISNUMBER(SpikeHorizon),SpikeHorizon,INDEX(Buffers!$D:$D,MATCH($H1109,Buffers!$AE:$AE,0))),0),$E1109&gt;=SpikePct*INDEX(Buffers!$P:$P,MATCH($H1109,Buffers!$AE:$AE,0))),"Spike","Not qualified"))))))</f>
        <v/>
      </c>
      <c r="G1109" s="8" t="str">
        <f aca="false">IF($A1109="","",IF(OR($F1109="Past due",$F1109="Due today",$F1109="Spike"),$C1109,0))</f>
        <v/>
      </c>
      <c r="H1109" s="8" t="str">
        <f aca="false">IF($A1109="","",SUBSTITUTE(SUBSTITUTE(SUBSTITUTE($A1109&amp;"","~","~~"),"*","~*"),"?","~?"))</f>
        <v/>
      </c>
    </row>
    <row r="1110" customFormat="false" ht="15" hidden="false" customHeight="false" outlineLevel="0" collapsed="false">
      <c r="A1110" s="11"/>
      <c r="B1110" s="6"/>
      <c r="C1110" s="11"/>
      <c r="D1110" s="11"/>
      <c r="E1110" s="8" t="str">
        <f aca="false">IF($A1110="","",SUMIFS($C:$C,$A:$A,$H1110,$B:$B,"&gt;="&amp;INT($B1110),$B:$B,"&lt;"&amp;(INT($B1110)+1)))</f>
        <v/>
      </c>
      <c r="F1110" s="19" t="str">
        <f aca="false">IF($A1110="","",IF(ISNA(MATCH($H1110,Buffers!$AE:$AE,0)),"Not on Buffers",IF(NOT(ISNUMBER($B1110)),"Needs a date",IF(INT($B1110)&lt;PlanDate,"Past due",IF(INT($B1110)=PlanDate,"Due today",IF(AND(INDEX(Buffers!$L:$L,MATCH($H1110,Buffers!$AE:$AE,0))="Planned",$E1110&gt;0,INT($B1110)&lt;=PlanDate+ROUNDUP(IF(ISNUMBER(SpikeHorizon),SpikeHorizon,INDEX(Buffers!$D:$D,MATCH($H1110,Buffers!$AE:$AE,0))),0),$E1110&gt;=SpikePct*INDEX(Buffers!$P:$P,MATCH($H1110,Buffers!$AE:$AE,0))),"Spike","Not qualified"))))))</f>
        <v/>
      </c>
      <c r="G1110" s="8" t="str">
        <f aca="false">IF($A1110="","",IF(OR($F1110="Past due",$F1110="Due today",$F1110="Spike"),$C1110,0))</f>
        <v/>
      </c>
      <c r="H1110" s="8" t="str">
        <f aca="false">IF($A1110="","",SUBSTITUTE(SUBSTITUTE(SUBSTITUTE($A1110&amp;"","~","~~"),"*","~*"),"?","~?"))</f>
        <v/>
      </c>
    </row>
    <row r="1111" customFormat="false" ht="15" hidden="false" customHeight="false" outlineLevel="0" collapsed="false">
      <c r="A1111" s="11"/>
      <c r="B1111" s="6"/>
      <c r="C1111" s="11"/>
      <c r="D1111" s="11"/>
      <c r="E1111" s="8" t="str">
        <f aca="false">IF($A1111="","",SUMIFS($C:$C,$A:$A,$H1111,$B:$B,"&gt;="&amp;INT($B1111),$B:$B,"&lt;"&amp;(INT($B1111)+1)))</f>
        <v/>
      </c>
      <c r="F1111" s="19" t="str">
        <f aca="false">IF($A1111="","",IF(ISNA(MATCH($H1111,Buffers!$AE:$AE,0)),"Not on Buffers",IF(NOT(ISNUMBER($B1111)),"Needs a date",IF(INT($B1111)&lt;PlanDate,"Past due",IF(INT($B1111)=PlanDate,"Due today",IF(AND(INDEX(Buffers!$L:$L,MATCH($H1111,Buffers!$AE:$AE,0))="Planned",$E1111&gt;0,INT($B1111)&lt;=PlanDate+ROUNDUP(IF(ISNUMBER(SpikeHorizon),SpikeHorizon,INDEX(Buffers!$D:$D,MATCH($H1111,Buffers!$AE:$AE,0))),0),$E1111&gt;=SpikePct*INDEX(Buffers!$P:$P,MATCH($H1111,Buffers!$AE:$AE,0))),"Spike","Not qualified"))))))</f>
        <v/>
      </c>
      <c r="G1111" s="8" t="str">
        <f aca="false">IF($A1111="","",IF(OR($F1111="Past due",$F1111="Due today",$F1111="Spike"),$C1111,0))</f>
        <v/>
      </c>
      <c r="H1111" s="8" t="str">
        <f aca="false">IF($A1111="","",SUBSTITUTE(SUBSTITUTE(SUBSTITUTE($A1111&amp;"","~","~~"),"*","~*"),"?","~?"))</f>
        <v/>
      </c>
    </row>
    <row r="1112" customFormat="false" ht="15" hidden="false" customHeight="false" outlineLevel="0" collapsed="false">
      <c r="A1112" s="11"/>
      <c r="B1112" s="6"/>
      <c r="C1112" s="11"/>
      <c r="D1112" s="11"/>
      <c r="E1112" s="8" t="str">
        <f aca="false">IF($A1112="","",SUMIFS($C:$C,$A:$A,$H1112,$B:$B,"&gt;="&amp;INT($B1112),$B:$B,"&lt;"&amp;(INT($B1112)+1)))</f>
        <v/>
      </c>
      <c r="F1112" s="19" t="str">
        <f aca="false">IF($A1112="","",IF(ISNA(MATCH($H1112,Buffers!$AE:$AE,0)),"Not on Buffers",IF(NOT(ISNUMBER($B1112)),"Needs a date",IF(INT($B1112)&lt;PlanDate,"Past due",IF(INT($B1112)=PlanDate,"Due today",IF(AND(INDEX(Buffers!$L:$L,MATCH($H1112,Buffers!$AE:$AE,0))="Planned",$E1112&gt;0,INT($B1112)&lt;=PlanDate+ROUNDUP(IF(ISNUMBER(SpikeHorizon),SpikeHorizon,INDEX(Buffers!$D:$D,MATCH($H1112,Buffers!$AE:$AE,0))),0),$E1112&gt;=SpikePct*INDEX(Buffers!$P:$P,MATCH($H1112,Buffers!$AE:$AE,0))),"Spike","Not qualified"))))))</f>
        <v/>
      </c>
      <c r="G1112" s="8" t="str">
        <f aca="false">IF($A1112="","",IF(OR($F1112="Past due",$F1112="Due today",$F1112="Spike"),$C1112,0))</f>
        <v/>
      </c>
      <c r="H1112" s="8" t="str">
        <f aca="false">IF($A1112="","",SUBSTITUTE(SUBSTITUTE(SUBSTITUTE($A1112&amp;"","~","~~"),"*","~*"),"?","~?"))</f>
        <v/>
      </c>
    </row>
    <row r="1113" customFormat="false" ht="15" hidden="false" customHeight="false" outlineLevel="0" collapsed="false">
      <c r="A1113" s="11"/>
      <c r="B1113" s="6"/>
      <c r="C1113" s="11"/>
      <c r="D1113" s="11"/>
      <c r="E1113" s="8" t="str">
        <f aca="false">IF($A1113="","",SUMIFS($C:$C,$A:$A,$H1113,$B:$B,"&gt;="&amp;INT($B1113),$B:$B,"&lt;"&amp;(INT($B1113)+1)))</f>
        <v/>
      </c>
      <c r="F1113" s="19" t="str">
        <f aca="false">IF($A1113="","",IF(ISNA(MATCH($H1113,Buffers!$AE:$AE,0)),"Not on Buffers",IF(NOT(ISNUMBER($B1113)),"Needs a date",IF(INT($B1113)&lt;PlanDate,"Past due",IF(INT($B1113)=PlanDate,"Due today",IF(AND(INDEX(Buffers!$L:$L,MATCH($H1113,Buffers!$AE:$AE,0))="Planned",$E1113&gt;0,INT($B1113)&lt;=PlanDate+ROUNDUP(IF(ISNUMBER(SpikeHorizon),SpikeHorizon,INDEX(Buffers!$D:$D,MATCH($H1113,Buffers!$AE:$AE,0))),0),$E1113&gt;=SpikePct*INDEX(Buffers!$P:$P,MATCH($H1113,Buffers!$AE:$AE,0))),"Spike","Not qualified"))))))</f>
        <v/>
      </c>
      <c r="G1113" s="8" t="str">
        <f aca="false">IF($A1113="","",IF(OR($F1113="Past due",$F1113="Due today",$F1113="Spike"),$C1113,0))</f>
        <v/>
      </c>
      <c r="H1113" s="8" t="str">
        <f aca="false">IF($A1113="","",SUBSTITUTE(SUBSTITUTE(SUBSTITUTE($A1113&amp;"","~","~~"),"*","~*"),"?","~?"))</f>
        <v/>
      </c>
    </row>
    <row r="1114" customFormat="false" ht="15" hidden="false" customHeight="false" outlineLevel="0" collapsed="false">
      <c r="A1114" s="11"/>
      <c r="B1114" s="6"/>
      <c r="C1114" s="11"/>
      <c r="D1114" s="11"/>
      <c r="E1114" s="8" t="str">
        <f aca="false">IF($A1114="","",SUMIFS($C:$C,$A:$A,$H1114,$B:$B,"&gt;="&amp;INT($B1114),$B:$B,"&lt;"&amp;(INT($B1114)+1)))</f>
        <v/>
      </c>
      <c r="F1114" s="19" t="str">
        <f aca="false">IF($A1114="","",IF(ISNA(MATCH($H1114,Buffers!$AE:$AE,0)),"Not on Buffers",IF(NOT(ISNUMBER($B1114)),"Needs a date",IF(INT($B1114)&lt;PlanDate,"Past due",IF(INT($B1114)=PlanDate,"Due today",IF(AND(INDEX(Buffers!$L:$L,MATCH($H1114,Buffers!$AE:$AE,0))="Planned",$E1114&gt;0,INT($B1114)&lt;=PlanDate+ROUNDUP(IF(ISNUMBER(SpikeHorizon),SpikeHorizon,INDEX(Buffers!$D:$D,MATCH($H1114,Buffers!$AE:$AE,0))),0),$E1114&gt;=SpikePct*INDEX(Buffers!$P:$P,MATCH($H1114,Buffers!$AE:$AE,0))),"Spike","Not qualified"))))))</f>
        <v/>
      </c>
      <c r="G1114" s="8" t="str">
        <f aca="false">IF($A1114="","",IF(OR($F1114="Past due",$F1114="Due today",$F1114="Spike"),$C1114,0))</f>
        <v/>
      </c>
      <c r="H1114" s="8" t="str">
        <f aca="false">IF($A1114="","",SUBSTITUTE(SUBSTITUTE(SUBSTITUTE($A1114&amp;"","~","~~"),"*","~*"),"?","~?"))</f>
        <v/>
      </c>
    </row>
    <row r="1115" customFormat="false" ht="15" hidden="false" customHeight="false" outlineLevel="0" collapsed="false">
      <c r="A1115" s="11"/>
      <c r="B1115" s="6"/>
      <c r="C1115" s="11"/>
      <c r="D1115" s="11"/>
      <c r="E1115" s="8" t="str">
        <f aca="false">IF($A1115="","",SUMIFS($C:$C,$A:$A,$H1115,$B:$B,"&gt;="&amp;INT($B1115),$B:$B,"&lt;"&amp;(INT($B1115)+1)))</f>
        <v/>
      </c>
      <c r="F1115" s="19" t="str">
        <f aca="false">IF($A1115="","",IF(ISNA(MATCH($H1115,Buffers!$AE:$AE,0)),"Not on Buffers",IF(NOT(ISNUMBER($B1115)),"Needs a date",IF(INT($B1115)&lt;PlanDate,"Past due",IF(INT($B1115)=PlanDate,"Due today",IF(AND(INDEX(Buffers!$L:$L,MATCH($H1115,Buffers!$AE:$AE,0))="Planned",$E1115&gt;0,INT($B1115)&lt;=PlanDate+ROUNDUP(IF(ISNUMBER(SpikeHorizon),SpikeHorizon,INDEX(Buffers!$D:$D,MATCH($H1115,Buffers!$AE:$AE,0))),0),$E1115&gt;=SpikePct*INDEX(Buffers!$P:$P,MATCH($H1115,Buffers!$AE:$AE,0))),"Spike","Not qualified"))))))</f>
        <v/>
      </c>
      <c r="G1115" s="8" t="str">
        <f aca="false">IF($A1115="","",IF(OR($F1115="Past due",$F1115="Due today",$F1115="Spike"),$C1115,0))</f>
        <v/>
      </c>
      <c r="H1115" s="8" t="str">
        <f aca="false">IF($A1115="","",SUBSTITUTE(SUBSTITUTE(SUBSTITUTE($A1115&amp;"","~","~~"),"*","~*"),"?","~?"))</f>
        <v/>
      </c>
    </row>
    <row r="1116" customFormat="false" ht="15" hidden="false" customHeight="false" outlineLevel="0" collapsed="false">
      <c r="A1116" s="11"/>
      <c r="B1116" s="6"/>
      <c r="C1116" s="11"/>
      <c r="D1116" s="11"/>
      <c r="E1116" s="8" t="str">
        <f aca="false">IF($A1116="","",SUMIFS($C:$C,$A:$A,$H1116,$B:$B,"&gt;="&amp;INT($B1116),$B:$B,"&lt;"&amp;(INT($B1116)+1)))</f>
        <v/>
      </c>
      <c r="F1116" s="19" t="str">
        <f aca="false">IF($A1116="","",IF(ISNA(MATCH($H1116,Buffers!$AE:$AE,0)),"Not on Buffers",IF(NOT(ISNUMBER($B1116)),"Needs a date",IF(INT($B1116)&lt;PlanDate,"Past due",IF(INT($B1116)=PlanDate,"Due today",IF(AND(INDEX(Buffers!$L:$L,MATCH($H1116,Buffers!$AE:$AE,0))="Planned",$E1116&gt;0,INT($B1116)&lt;=PlanDate+ROUNDUP(IF(ISNUMBER(SpikeHorizon),SpikeHorizon,INDEX(Buffers!$D:$D,MATCH($H1116,Buffers!$AE:$AE,0))),0),$E1116&gt;=SpikePct*INDEX(Buffers!$P:$P,MATCH($H1116,Buffers!$AE:$AE,0))),"Spike","Not qualified"))))))</f>
        <v/>
      </c>
      <c r="G1116" s="8" t="str">
        <f aca="false">IF($A1116="","",IF(OR($F1116="Past due",$F1116="Due today",$F1116="Spike"),$C1116,0))</f>
        <v/>
      </c>
      <c r="H1116" s="8" t="str">
        <f aca="false">IF($A1116="","",SUBSTITUTE(SUBSTITUTE(SUBSTITUTE($A1116&amp;"","~","~~"),"*","~*"),"?","~?"))</f>
        <v/>
      </c>
    </row>
    <row r="1117" customFormat="false" ht="15" hidden="false" customHeight="false" outlineLevel="0" collapsed="false">
      <c r="A1117" s="11"/>
      <c r="B1117" s="6"/>
      <c r="C1117" s="11"/>
      <c r="D1117" s="11"/>
      <c r="E1117" s="8" t="str">
        <f aca="false">IF($A1117="","",SUMIFS($C:$C,$A:$A,$H1117,$B:$B,"&gt;="&amp;INT($B1117),$B:$B,"&lt;"&amp;(INT($B1117)+1)))</f>
        <v/>
      </c>
      <c r="F1117" s="19" t="str">
        <f aca="false">IF($A1117="","",IF(ISNA(MATCH($H1117,Buffers!$AE:$AE,0)),"Not on Buffers",IF(NOT(ISNUMBER($B1117)),"Needs a date",IF(INT($B1117)&lt;PlanDate,"Past due",IF(INT($B1117)=PlanDate,"Due today",IF(AND(INDEX(Buffers!$L:$L,MATCH($H1117,Buffers!$AE:$AE,0))="Planned",$E1117&gt;0,INT($B1117)&lt;=PlanDate+ROUNDUP(IF(ISNUMBER(SpikeHorizon),SpikeHorizon,INDEX(Buffers!$D:$D,MATCH($H1117,Buffers!$AE:$AE,0))),0),$E1117&gt;=SpikePct*INDEX(Buffers!$P:$P,MATCH($H1117,Buffers!$AE:$AE,0))),"Spike","Not qualified"))))))</f>
        <v/>
      </c>
      <c r="G1117" s="8" t="str">
        <f aca="false">IF($A1117="","",IF(OR($F1117="Past due",$F1117="Due today",$F1117="Spike"),$C1117,0))</f>
        <v/>
      </c>
      <c r="H1117" s="8" t="str">
        <f aca="false">IF($A1117="","",SUBSTITUTE(SUBSTITUTE(SUBSTITUTE($A1117&amp;"","~","~~"),"*","~*"),"?","~?"))</f>
        <v/>
      </c>
    </row>
    <row r="1118" customFormat="false" ht="15" hidden="false" customHeight="false" outlineLevel="0" collapsed="false">
      <c r="A1118" s="11"/>
      <c r="B1118" s="6"/>
      <c r="C1118" s="11"/>
      <c r="D1118" s="11"/>
      <c r="E1118" s="8" t="str">
        <f aca="false">IF($A1118="","",SUMIFS($C:$C,$A:$A,$H1118,$B:$B,"&gt;="&amp;INT($B1118),$B:$B,"&lt;"&amp;(INT($B1118)+1)))</f>
        <v/>
      </c>
      <c r="F1118" s="19" t="str">
        <f aca="false">IF($A1118="","",IF(ISNA(MATCH($H1118,Buffers!$AE:$AE,0)),"Not on Buffers",IF(NOT(ISNUMBER($B1118)),"Needs a date",IF(INT($B1118)&lt;PlanDate,"Past due",IF(INT($B1118)=PlanDate,"Due today",IF(AND(INDEX(Buffers!$L:$L,MATCH($H1118,Buffers!$AE:$AE,0))="Planned",$E1118&gt;0,INT($B1118)&lt;=PlanDate+ROUNDUP(IF(ISNUMBER(SpikeHorizon),SpikeHorizon,INDEX(Buffers!$D:$D,MATCH($H1118,Buffers!$AE:$AE,0))),0),$E1118&gt;=SpikePct*INDEX(Buffers!$P:$P,MATCH($H1118,Buffers!$AE:$AE,0))),"Spike","Not qualified"))))))</f>
        <v/>
      </c>
      <c r="G1118" s="8" t="str">
        <f aca="false">IF($A1118="","",IF(OR($F1118="Past due",$F1118="Due today",$F1118="Spike"),$C1118,0))</f>
        <v/>
      </c>
      <c r="H1118" s="8" t="str">
        <f aca="false">IF($A1118="","",SUBSTITUTE(SUBSTITUTE(SUBSTITUTE($A1118&amp;"","~","~~"),"*","~*"),"?","~?"))</f>
        <v/>
      </c>
    </row>
    <row r="1119" customFormat="false" ht="15" hidden="false" customHeight="false" outlineLevel="0" collapsed="false">
      <c r="A1119" s="11"/>
      <c r="B1119" s="6"/>
      <c r="C1119" s="11"/>
      <c r="D1119" s="11"/>
      <c r="E1119" s="8" t="str">
        <f aca="false">IF($A1119="","",SUMIFS($C:$C,$A:$A,$H1119,$B:$B,"&gt;="&amp;INT($B1119),$B:$B,"&lt;"&amp;(INT($B1119)+1)))</f>
        <v/>
      </c>
      <c r="F1119" s="19" t="str">
        <f aca="false">IF($A1119="","",IF(ISNA(MATCH($H1119,Buffers!$AE:$AE,0)),"Not on Buffers",IF(NOT(ISNUMBER($B1119)),"Needs a date",IF(INT($B1119)&lt;PlanDate,"Past due",IF(INT($B1119)=PlanDate,"Due today",IF(AND(INDEX(Buffers!$L:$L,MATCH($H1119,Buffers!$AE:$AE,0))="Planned",$E1119&gt;0,INT($B1119)&lt;=PlanDate+ROUNDUP(IF(ISNUMBER(SpikeHorizon),SpikeHorizon,INDEX(Buffers!$D:$D,MATCH($H1119,Buffers!$AE:$AE,0))),0),$E1119&gt;=SpikePct*INDEX(Buffers!$P:$P,MATCH($H1119,Buffers!$AE:$AE,0))),"Spike","Not qualified"))))))</f>
        <v/>
      </c>
      <c r="G1119" s="8" t="str">
        <f aca="false">IF($A1119="","",IF(OR($F1119="Past due",$F1119="Due today",$F1119="Spike"),$C1119,0))</f>
        <v/>
      </c>
      <c r="H1119" s="8" t="str">
        <f aca="false">IF($A1119="","",SUBSTITUTE(SUBSTITUTE(SUBSTITUTE($A1119&amp;"","~","~~"),"*","~*"),"?","~?"))</f>
        <v/>
      </c>
    </row>
    <row r="1120" customFormat="false" ht="15" hidden="false" customHeight="false" outlineLevel="0" collapsed="false">
      <c r="A1120" s="11"/>
      <c r="B1120" s="6"/>
      <c r="C1120" s="11"/>
      <c r="D1120" s="11"/>
      <c r="E1120" s="8" t="str">
        <f aca="false">IF($A1120="","",SUMIFS($C:$C,$A:$A,$H1120,$B:$B,"&gt;="&amp;INT($B1120),$B:$B,"&lt;"&amp;(INT($B1120)+1)))</f>
        <v/>
      </c>
      <c r="F1120" s="19" t="str">
        <f aca="false">IF($A1120="","",IF(ISNA(MATCH($H1120,Buffers!$AE:$AE,0)),"Not on Buffers",IF(NOT(ISNUMBER($B1120)),"Needs a date",IF(INT($B1120)&lt;PlanDate,"Past due",IF(INT($B1120)=PlanDate,"Due today",IF(AND(INDEX(Buffers!$L:$L,MATCH($H1120,Buffers!$AE:$AE,0))="Planned",$E1120&gt;0,INT($B1120)&lt;=PlanDate+ROUNDUP(IF(ISNUMBER(SpikeHorizon),SpikeHorizon,INDEX(Buffers!$D:$D,MATCH($H1120,Buffers!$AE:$AE,0))),0),$E1120&gt;=SpikePct*INDEX(Buffers!$P:$P,MATCH($H1120,Buffers!$AE:$AE,0))),"Spike","Not qualified"))))))</f>
        <v/>
      </c>
      <c r="G1120" s="8" t="str">
        <f aca="false">IF($A1120="","",IF(OR($F1120="Past due",$F1120="Due today",$F1120="Spike"),$C1120,0))</f>
        <v/>
      </c>
      <c r="H1120" s="8" t="str">
        <f aca="false">IF($A1120="","",SUBSTITUTE(SUBSTITUTE(SUBSTITUTE($A1120&amp;"","~","~~"),"*","~*"),"?","~?"))</f>
        <v/>
      </c>
    </row>
    <row r="1121" customFormat="false" ht="15" hidden="false" customHeight="false" outlineLevel="0" collapsed="false">
      <c r="A1121" s="11"/>
      <c r="B1121" s="6"/>
      <c r="C1121" s="11"/>
      <c r="D1121" s="11"/>
      <c r="E1121" s="8" t="str">
        <f aca="false">IF($A1121="","",SUMIFS($C:$C,$A:$A,$H1121,$B:$B,"&gt;="&amp;INT($B1121),$B:$B,"&lt;"&amp;(INT($B1121)+1)))</f>
        <v/>
      </c>
      <c r="F1121" s="19" t="str">
        <f aca="false">IF($A1121="","",IF(ISNA(MATCH($H1121,Buffers!$AE:$AE,0)),"Not on Buffers",IF(NOT(ISNUMBER($B1121)),"Needs a date",IF(INT($B1121)&lt;PlanDate,"Past due",IF(INT($B1121)=PlanDate,"Due today",IF(AND(INDEX(Buffers!$L:$L,MATCH($H1121,Buffers!$AE:$AE,0))="Planned",$E1121&gt;0,INT($B1121)&lt;=PlanDate+ROUNDUP(IF(ISNUMBER(SpikeHorizon),SpikeHorizon,INDEX(Buffers!$D:$D,MATCH($H1121,Buffers!$AE:$AE,0))),0),$E1121&gt;=SpikePct*INDEX(Buffers!$P:$P,MATCH($H1121,Buffers!$AE:$AE,0))),"Spike","Not qualified"))))))</f>
        <v/>
      </c>
      <c r="G1121" s="8" t="str">
        <f aca="false">IF($A1121="","",IF(OR($F1121="Past due",$F1121="Due today",$F1121="Spike"),$C1121,0))</f>
        <v/>
      </c>
      <c r="H1121" s="8" t="str">
        <f aca="false">IF($A1121="","",SUBSTITUTE(SUBSTITUTE(SUBSTITUTE($A1121&amp;"","~","~~"),"*","~*"),"?","~?"))</f>
        <v/>
      </c>
    </row>
    <row r="1122" customFormat="false" ht="15" hidden="false" customHeight="false" outlineLevel="0" collapsed="false">
      <c r="A1122" s="11"/>
      <c r="B1122" s="6"/>
      <c r="C1122" s="11"/>
      <c r="D1122" s="11"/>
      <c r="E1122" s="8" t="str">
        <f aca="false">IF($A1122="","",SUMIFS($C:$C,$A:$A,$H1122,$B:$B,"&gt;="&amp;INT($B1122),$B:$B,"&lt;"&amp;(INT($B1122)+1)))</f>
        <v/>
      </c>
      <c r="F1122" s="19" t="str">
        <f aca="false">IF($A1122="","",IF(ISNA(MATCH($H1122,Buffers!$AE:$AE,0)),"Not on Buffers",IF(NOT(ISNUMBER($B1122)),"Needs a date",IF(INT($B1122)&lt;PlanDate,"Past due",IF(INT($B1122)=PlanDate,"Due today",IF(AND(INDEX(Buffers!$L:$L,MATCH($H1122,Buffers!$AE:$AE,0))="Planned",$E1122&gt;0,INT($B1122)&lt;=PlanDate+ROUNDUP(IF(ISNUMBER(SpikeHorizon),SpikeHorizon,INDEX(Buffers!$D:$D,MATCH($H1122,Buffers!$AE:$AE,0))),0),$E1122&gt;=SpikePct*INDEX(Buffers!$P:$P,MATCH($H1122,Buffers!$AE:$AE,0))),"Spike","Not qualified"))))))</f>
        <v/>
      </c>
      <c r="G1122" s="8" t="str">
        <f aca="false">IF($A1122="","",IF(OR($F1122="Past due",$F1122="Due today",$F1122="Spike"),$C1122,0))</f>
        <v/>
      </c>
      <c r="H1122" s="8" t="str">
        <f aca="false">IF($A1122="","",SUBSTITUTE(SUBSTITUTE(SUBSTITUTE($A1122&amp;"","~","~~"),"*","~*"),"?","~?"))</f>
        <v/>
      </c>
    </row>
    <row r="1123" customFormat="false" ht="15" hidden="false" customHeight="false" outlineLevel="0" collapsed="false">
      <c r="A1123" s="11"/>
      <c r="B1123" s="6"/>
      <c r="C1123" s="11"/>
      <c r="D1123" s="11"/>
      <c r="E1123" s="8" t="str">
        <f aca="false">IF($A1123="","",SUMIFS($C:$C,$A:$A,$H1123,$B:$B,"&gt;="&amp;INT($B1123),$B:$B,"&lt;"&amp;(INT($B1123)+1)))</f>
        <v/>
      </c>
      <c r="F1123" s="19" t="str">
        <f aca="false">IF($A1123="","",IF(ISNA(MATCH($H1123,Buffers!$AE:$AE,0)),"Not on Buffers",IF(NOT(ISNUMBER($B1123)),"Needs a date",IF(INT($B1123)&lt;PlanDate,"Past due",IF(INT($B1123)=PlanDate,"Due today",IF(AND(INDEX(Buffers!$L:$L,MATCH($H1123,Buffers!$AE:$AE,0))="Planned",$E1123&gt;0,INT($B1123)&lt;=PlanDate+ROUNDUP(IF(ISNUMBER(SpikeHorizon),SpikeHorizon,INDEX(Buffers!$D:$D,MATCH($H1123,Buffers!$AE:$AE,0))),0),$E1123&gt;=SpikePct*INDEX(Buffers!$P:$P,MATCH($H1123,Buffers!$AE:$AE,0))),"Spike","Not qualified"))))))</f>
        <v/>
      </c>
      <c r="G1123" s="8" t="str">
        <f aca="false">IF($A1123="","",IF(OR($F1123="Past due",$F1123="Due today",$F1123="Spike"),$C1123,0))</f>
        <v/>
      </c>
      <c r="H1123" s="8" t="str">
        <f aca="false">IF($A1123="","",SUBSTITUTE(SUBSTITUTE(SUBSTITUTE($A1123&amp;"","~","~~"),"*","~*"),"?","~?"))</f>
        <v/>
      </c>
    </row>
    <row r="1124" customFormat="false" ht="15" hidden="false" customHeight="false" outlineLevel="0" collapsed="false">
      <c r="A1124" s="11"/>
      <c r="B1124" s="6"/>
      <c r="C1124" s="11"/>
      <c r="D1124" s="11"/>
      <c r="E1124" s="8" t="str">
        <f aca="false">IF($A1124="","",SUMIFS($C:$C,$A:$A,$H1124,$B:$B,"&gt;="&amp;INT($B1124),$B:$B,"&lt;"&amp;(INT($B1124)+1)))</f>
        <v/>
      </c>
      <c r="F1124" s="19" t="str">
        <f aca="false">IF($A1124="","",IF(ISNA(MATCH($H1124,Buffers!$AE:$AE,0)),"Not on Buffers",IF(NOT(ISNUMBER($B1124)),"Needs a date",IF(INT($B1124)&lt;PlanDate,"Past due",IF(INT($B1124)=PlanDate,"Due today",IF(AND(INDEX(Buffers!$L:$L,MATCH($H1124,Buffers!$AE:$AE,0))="Planned",$E1124&gt;0,INT($B1124)&lt;=PlanDate+ROUNDUP(IF(ISNUMBER(SpikeHorizon),SpikeHorizon,INDEX(Buffers!$D:$D,MATCH($H1124,Buffers!$AE:$AE,0))),0),$E1124&gt;=SpikePct*INDEX(Buffers!$P:$P,MATCH($H1124,Buffers!$AE:$AE,0))),"Spike","Not qualified"))))))</f>
        <v/>
      </c>
      <c r="G1124" s="8" t="str">
        <f aca="false">IF($A1124="","",IF(OR($F1124="Past due",$F1124="Due today",$F1124="Spike"),$C1124,0))</f>
        <v/>
      </c>
      <c r="H1124" s="8" t="str">
        <f aca="false">IF($A1124="","",SUBSTITUTE(SUBSTITUTE(SUBSTITUTE($A1124&amp;"","~","~~"),"*","~*"),"?","~?"))</f>
        <v/>
      </c>
    </row>
    <row r="1125" customFormat="false" ht="15" hidden="false" customHeight="false" outlineLevel="0" collapsed="false">
      <c r="A1125" s="11"/>
      <c r="B1125" s="6"/>
      <c r="C1125" s="11"/>
      <c r="D1125" s="11"/>
      <c r="E1125" s="8" t="str">
        <f aca="false">IF($A1125="","",SUMIFS($C:$C,$A:$A,$H1125,$B:$B,"&gt;="&amp;INT($B1125),$B:$B,"&lt;"&amp;(INT($B1125)+1)))</f>
        <v/>
      </c>
      <c r="F1125" s="19" t="str">
        <f aca="false">IF($A1125="","",IF(ISNA(MATCH($H1125,Buffers!$AE:$AE,0)),"Not on Buffers",IF(NOT(ISNUMBER($B1125)),"Needs a date",IF(INT($B1125)&lt;PlanDate,"Past due",IF(INT($B1125)=PlanDate,"Due today",IF(AND(INDEX(Buffers!$L:$L,MATCH($H1125,Buffers!$AE:$AE,0))="Planned",$E1125&gt;0,INT($B1125)&lt;=PlanDate+ROUNDUP(IF(ISNUMBER(SpikeHorizon),SpikeHorizon,INDEX(Buffers!$D:$D,MATCH($H1125,Buffers!$AE:$AE,0))),0),$E1125&gt;=SpikePct*INDEX(Buffers!$P:$P,MATCH($H1125,Buffers!$AE:$AE,0))),"Spike","Not qualified"))))))</f>
        <v/>
      </c>
      <c r="G1125" s="8" t="str">
        <f aca="false">IF($A1125="","",IF(OR($F1125="Past due",$F1125="Due today",$F1125="Spike"),$C1125,0))</f>
        <v/>
      </c>
      <c r="H1125" s="8" t="str">
        <f aca="false">IF($A1125="","",SUBSTITUTE(SUBSTITUTE(SUBSTITUTE($A1125&amp;"","~","~~"),"*","~*"),"?","~?"))</f>
        <v/>
      </c>
    </row>
    <row r="1126" customFormat="false" ht="15" hidden="false" customHeight="false" outlineLevel="0" collapsed="false">
      <c r="A1126" s="11"/>
      <c r="B1126" s="6"/>
      <c r="C1126" s="11"/>
      <c r="D1126" s="11"/>
      <c r="E1126" s="8" t="str">
        <f aca="false">IF($A1126="","",SUMIFS($C:$C,$A:$A,$H1126,$B:$B,"&gt;="&amp;INT($B1126),$B:$B,"&lt;"&amp;(INT($B1126)+1)))</f>
        <v/>
      </c>
      <c r="F1126" s="19" t="str">
        <f aca="false">IF($A1126="","",IF(ISNA(MATCH($H1126,Buffers!$AE:$AE,0)),"Not on Buffers",IF(NOT(ISNUMBER($B1126)),"Needs a date",IF(INT($B1126)&lt;PlanDate,"Past due",IF(INT($B1126)=PlanDate,"Due today",IF(AND(INDEX(Buffers!$L:$L,MATCH($H1126,Buffers!$AE:$AE,0))="Planned",$E1126&gt;0,INT($B1126)&lt;=PlanDate+ROUNDUP(IF(ISNUMBER(SpikeHorizon),SpikeHorizon,INDEX(Buffers!$D:$D,MATCH($H1126,Buffers!$AE:$AE,0))),0),$E1126&gt;=SpikePct*INDEX(Buffers!$P:$P,MATCH($H1126,Buffers!$AE:$AE,0))),"Spike","Not qualified"))))))</f>
        <v/>
      </c>
      <c r="G1126" s="8" t="str">
        <f aca="false">IF($A1126="","",IF(OR($F1126="Past due",$F1126="Due today",$F1126="Spike"),$C1126,0))</f>
        <v/>
      </c>
      <c r="H1126" s="8" t="str">
        <f aca="false">IF($A1126="","",SUBSTITUTE(SUBSTITUTE(SUBSTITUTE($A1126&amp;"","~","~~"),"*","~*"),"?","~?"))</f>
        <v/>
      </c>
    </row>
    <row r="1127" customFormat="false" ht="15" hidden="false" customHeight="false" outlineLevel="0" collapsed="false">
      <c r="A1127" s="11"/>
      <c r="B1127" s="6"/>
      <c r="C1127" s="11"/>
      <c r="D1127" s="11"/>
      <c r="E1127" s="8" t="str">
        <f aca="false">IF($A1127="","",SUMIFS($C:$C,$A:$A,$H1127,$B:$B,"&gt;="&amp;INT($B1127),$B:$B,"&lt;"&amp;(INT($B1127)+1)))</f>
        <v/>
      </c>
      <c r="F1127" s="19" t="str">
        <f aca="false">IF($A1127="","",IF(ISNA(MATCH($H1127,Buffers!$AE:$AE,0)),"Not on Buffers",IF(NOT(ISNUMBER($B1127)),"Needs a date",IF(INT($B1127)&lt;PlanDate,"Past due",IF(INT($B1127)=PlanDate,"Due today",IF(AND(INDEX(Buffers!$L:$L,MATCH($H1127,Buffers!$AE:$AE,0))="Planned",$E1127&gt;0,INT($B1127)&lt;=PlanDate+ROUNDUP(IF(ISNUMBER(SpikeHorizon),SpikeHorizon,INDEX(Buffers!$D:$D,MATCH($H1127,Buffers!$AE:$AE,0))),0),$E1127&gt;=SpikePct*INDEX(Buffers!$P:$P,MATCH($H1127,Buffers!$AE:$AE,0))),"Spike","Not qualified"))))))</f>
        <v/>
      </c>
      <c r="G1127" s="8" t="str">
        <f aca="false">IF($A1127="","",IF(OR($F1127="Past due",$F1127="Due today",$F1127="Spike"),$C1127,0))</f>
        <v/>
      </c>
      <c r="H1127" s="8" t="str">
        <f aca="false">IF($A1127="","",SUBSTITUTE(SUBSTITUTE(SUBSTITUTE($A1127&amp;"","~","~~"),"*","~*"),"?","~?"))</f>
        <v/>
      </c>
    </row>
    <row r="1128" customFormat="false" ht="15" hidden="false" customHeight="false" outlineLevel="0" collapsed="false">
      <c r="A1128" s="11"/>
      <c r="B1128" s="6"/>
      <c r="C1128" s="11"/>
      <c r="D1128" s="11"/>
      <c r="E1128" s="8" t="str">
        <f aca="false">IF($A1128="","",SUMIFS($C:$C,$A:$A,$H1128,$B:$B,"&gt;="&amp;INT($B1128),$B:$B,"&lt;"&amp;(INT($B1128)+1)))</f>
        <v/>
      </c>
      <c r="F1128" s="19" t="str">
        <f aca="false">IF($A1128="","",IF(ISNA(MATCH($H1128,Buffers!$AE:$AE,0)),"Not on Buffers",IF(NOT(ISNUMBER($B1128)),"Needs a date",IF(INT($B1128)&lt;PlanDate,"Past due",IF(INT($B1128)=PlanDate,"Due today",IF(AND(INDEX(Buffers!$L:$L,MATCH($H1128,Buffers!$AE:$AE,0))="Planned",$E1128&gt;0,INT($B1128)&lt;=PlanDate+ROUNDUP(IF(ISNUMBER(SpikeHorizon),SpikeHorizon,INDEX(Buffers!$D:$D,MATCH($H1128,Buffers!$AE:$AE,0))),0),$E1128&gt;=SpikePct*INDEX(Buffers!$P:$P,MATCH($H1128,Buffers!$AE:$AE,0))),"Spike","Not qualified"))))))</f>
        <v/>
      </c>
      <c r="G1128" s="8" t="str">
        <f aca="false">IF($A1128="","",IF(OR($F1128="Past due",$F1128="Due today",$F1128="Spike"),$C1128,0))</f>
        <v/>
      </c>
      <c r="H1128" s="8" t="str">
        <f aca="false">IF($A1128="","",SUBSTITUTE(SUBSTITUTE(SUBSTITUTE($A1128&amp;"","~","~~"),"*","~*"),"?","~?"))</f>
        <v/>
      </c>
    </row>
    <row r="1129" customFormat="false" ht="15" hidden="false" customHeight="false" outlineLevel="0" collapsed="false">
      <c r="A1129" s="11"/>
      <c r="B1129" s="6"/>
      <c r="C1129" s="11"/>
      <c r="D1129" s="11"/>
      <c r="E1129" s="8" t="str">
        <f aca="false">IF($A1129="","",SUMIFS($C:$C,$A:$A,$H1129,$B:$B,"&gt;="&amp;INT($B1129),$B:$B,"&lt;"&amp;(INT($B1129)+1)))</f>
        <v/>
      </c>
      <c r="F1129" s="19" t="str">
        <f aca="false">IF($A1129="","",IF(ISNA(MATCH($H1129,Buffers!$AE:$AE,0)),"Not on Buffers",IF(NOT(ISNUMBER($B1129)),"Needs a date",IF(INT($B1129)&lt;PlanDate,"Past due",IF(INT($B1129)=PlanDate,"Due today",IF(AND(INDEX(Buffers!$L:$L,MATCH($H1129,Buffers!$AE:$AE,0))="Planned",$E1129&gt;0,INT($B1129)&lt;=PlanDate+ROUNDUP(IF(ISNUMBER(SpikeHorizon),SpikeHorizon,INDEX(Buffers!$D:$D,MATCH($H1129,Buffers!$AE:$AE,0))),0),$E1129&gt;=SpikePct*INDEX(Buffers!$P:$P,MATCH($H1129,Buffers!$AE:$AE,0))),"Spike","Not qualified"))))))</f>
        <v/>
      </c>
      <c r="G1129" s="8" t="str">
        <f aca="false">IF($A1129="","",IF(OR($F1129="Past due",$F1129="Due today",$F1129="Spike"),$C1129,0))</f>
        <v/>
      </c>
      <c r="H1129" s="8" t="str">
        <f aca="false">IF($A1129="","",SUBSTITUTE(SUBSTITUTE(SUBSTITUTE($A1129&amp;"","~","~~"),"*","~*"),"?","~?"))</f>
        <v/>
      </c>
    </row>
    <row r="1130" customFormat="false" ht="15" hidden="false" customHeight="false" outlineLevel="0" collapsed="false">
      <c r="A1130" s="11"/>
      <c r="B1130" s="6"/>
      <c r="C1130" s="11"/>
      <c r="D1130" s="11"/>
      <c r="E1130" s="8" t="str">
        <f aca="false">IF($A1130="","",SUMIFS($C:$C,$A:$A,$H1130,$B:$B,"&gt;="&amp;INT($B1130),$B:$B,"&lt;"&amp;(INT($B1130)+1)))</f>
        <v/>
      </c>
      <c r="F1130" s="19" t="str">
        <f aca="false">IF($A1130="","",IF(ISNA(MATCH($H1130,Buffers!$AE:$AE,0)),"Not on Buffers",IF(NOT(ISNUMBER($B1130)),"Needs a date",IF(INT($B1130)&lt;PlanDate,"Past due",IF(INT($B1130)=PlanDate,"Due today",IF(AND(INDEX(Buffers!$L:$L,MATCH($H1130,Buffers!$AE:$AE,0))="Planned",$E1130&gt;0,INT($B1130)&lt;=PlanDate+ROUNDUP(IF(ISNUMBER(SpikeHorizon),SpikeHorizon,INDEX(Buffers!$D:$D,MATCH($H1130,Buffers!$AE:$AE,0))),0),$E1130&gt;=SpikePct*INDEX(Buffers!$P:$P,MATCH($H1130,Buffers!$AE:$AE,0))),"Spike","Not qualified"))))))</f>
        <v/>
      </c>
      <c r="G1130" s="8" t="str">
        <f aca="false">IF($A1130="","",IF(OR($F1130="Past due",$F1130="Due today",$F1130="Spike"),$C1130,0))</f>
        <v/>
      </c>
      <c r="H1130" s="8" t="str">
        <f aca="false">IF($A1130="","",SUBSTITUTE(SUBSTITUTE(SUBSTITUTE($A1130&amp;"","~","~~"),"*","~*"),"?","~?"))</f>
        <v/>
      </c>
    </row>
    <row r="1131" customFormat="false" ht="15" hidden="false" customHeight="false" outlineLevel="0" collapsed="false">
      <c r="A1131" s="11"/>
      <c r="B1131" s="6"/>
      <c r="C1131" s="11"/>
      <c r="D1131" s="11"/>
      <c r="E1131" s="8" t="str">
        <f aca="false">IF($A1131="","",SUMIFS($C:$C,$A:$A,$H1131,$B:$B,"&gt;="&amp;INT($B1131),$B:$B,"&lt;"&amp;(INT($B1131)+1)))</f>
        <v/>
      </c>
      <c r="F1131" s="19" t="str">
        <f aca="false">IF($A1131="","",IF(ISNA(MATCH($H1131,Buffers!$AE:$AE,0)),"Not on Buffers",IF(NOT(ISNUMBER($B1131)),"Needs a date",IF(INT($B1131)&lt;PlanDate,"Past due",IF(INT($B1131)=PlanDate,"Due today",IF(AND(INDEX(Buffers!$L:$L,MATCH($H1131,Buffers!$AE:$AE,0))="Planned",$E1131&gt;0,INT($B1131)&lt;=PlanDate+ROUNDUP(IF(ISNUMBER(SpikeHorizon),SpikeHorizon,INDEX(Buffers!$D:$D,MATCH($H1131,Buffers!$AE:$AE,0))),0),$E1131&gt;=SpikePct*INDEX(Buffers!$P:$P,MATCH($H1131,Buffers!$AE:$AE,0))),"Spike","Not qualified"))))))</f>
        <v/>
      </c>
      <c r="G1131" s="8" t="str">
        <f aca="false">IF($A1131="","",IF(OR($F1131="Past due",$F1131="Due today",$F1131="Spike"),$C1131,0))</f>
        <v/>
      </c>
      <c r="H1131" s="8" t="str">
        <f aca="false">IF($A1131="","",SUBSTITUTE(SUBSTITUTE(SUBSTITUTE($A1131&amp;"","~","~~"),"*","~*"),"?","~?"))</f>
        <v/>
      </c>
    </row>
    <row r="1132" customFormat="false" ht="15" hidden="false" customHeight="false" outlineLevel="0" collapsed="false">
      <c r="A1132" s="11"/>
      <c r="B1132" s="6"/>
      <c r="C1132" s="11"/>
      <c r="D1132" s="11"/>
      <c r="E1132" s="8" t="str">
        <f aca="false">IF($A1132="","",SUMIFS($C:$C,$A:$A,$H1132,$B:$B,"&gt;="&amp;INT($B1132),$B:$B,"&lt;"&amp;(INT($B1132)+1)))</f>
        <v/>
      </c>
      <c r="F1132" s="19" t="str">
        <f aca="false">IF($A1132="","",IF(ISNA(MATCH($H1132,Buffers!$AE:$AE,0)),"Not on Buffers",IF(NOT(ISNUMBER($B1132)),"Needs a date",IF(INT($B1132)&lt;PlanDate,"Past due",IF(INT($B1132)=PlanDate,"Due today",IF(AND(INDEX(Buffers!$L:$L,MATCH($H1132,Buffers!$AE:$AE,0))="Planned",$E1132&gt;0,INT($B1132)&lt;=PlanDate+ROUNDUP(IF(ISNUMBER(SpikeHorizon),SpikeHorizon,INDEX(Buffers!$D:$D,MATCH($H1132,Buffers!$AE:$AE,0))),0),$E1132&gt;=SpikePct*INDEX(Buffers!$P:$P,MATCH($H1132,Buffers!$AE:$AE,0))),"Spike","Not qualified"))))))</f>
        <v/>
      </c>
      <c r="G1132" s="8" t="str">
        <f aca="false">IF($A1132="","",IF(OR($F1132="Past due",$F1132="Due today",$F1132="Spike"),$C1132,0))</f>
        <v/>
      </c>
      <c r="H1132" s="8" t="str">
        <f aca="false">IF($A1132="","",SUBSTITUTE(SUBSTITUTE(SUBSTITUTE($A1132&amp;"","~","~~"),"*","~*"),"?","~?"))</f>
        <v/>
      </c>
    </row>
    <row r="1133" customFormat="false" ht="15" hidden="false" customHeight="false" outlineLevel="0" collapsed="false">
      <c r="A1133" s="11"/>
      <c r="B1133" s="6"/>
      <c r="C1133" s="11"/>
      <c r="D1133" s="11"/>
      <c r="E1133" s="8" t="str">
        <f aca="false">IF($A1133="","",SUMIFS($C:$C,$A:$A,$H1133,$B:$B,"&gt;="&amp;INT($B1133),$B:$B,"&lt;"&amp;(INT($B1133)+1)))</f>
        <v/>
      </c>
      <c r="F1133" s="19" t="str">
        <f aca="false">IF($A1133="","",IF(ISNA(MATCH($H1133,Buffers!$AE:$AE,0)),"Not on Buffers",IF(NOT(ISNUMBER($B1133)),"Needs a date",IF(INT($B1133)&lt;PlanDate,"Past due",IF(INT($B1133)=PlanDate,"Due today",IF(AND(INDEX(Buffers!$L:$L,MATCH($H1133,Buffers!$AE:$AE,0))="Planned",$E1133&gt;0,INT($B1133)&lt;=PlanDate+ROUNDUP(IF(ISNUMBER(SpikeHorizon),SpikeHorizon,INDEX(Buffers!$D:$D,MATCH($H1133,Buffers!$AE:$AE,0))),0),$E1133&gt;=SpikePct*INDEX(Buffers!$P:$P,MATCH($H1133,Buffers!$AE:$AE,0))),"Spike","Not qualified"))))))</f>
        <v/>
      </c>
      <c r="G1133" s="8" t="str">
        <f aca="false">IF($A1133="","",IF(OR($F1133="Past due",$F1133="Due today",$F1133="Spike"),$C1133,0))</f>
        <v/>
      </c>
      <c r="H1133" s="8" t="str">
        <f aca="false">IF($A1133="","",SUBSTITUTE(SUBSTITUTE(SUBSTITUTE($A1133&amp;"","~","~~"),"*","~*"),"?","~?"))</f>
        <v/>
      </c>
    </row>
    <row r="1134" customFormat="false" ht="15" hidden="false" customHeight="false" outlineLevel="0" collapsed="false">
      <c r="A1134" s="11"/>
      <c r="B1134" s="6"/>
      <c r="C1134" s="11"/>
      <c r="D1134" s="11"/>
      <c r="E1134" s="8" t="str">
        <f aca="false">IF($A1134="","",SUMIFS($C:$C,$A:$A,$H1134,$B:$B,"&gt;="&amp;INT($B1134),$B:$B,"&lt;"&amp;(INT($B1134)+1)))</f>
        <v/>
      </c>
      <c r="F1134" s="19" t="str">
        <f aca="false">IF($A1134="","",IF(ISNA(MATCH($H1134,Buffers!$AE:$AE,0)),"Not on Buffers",IF(NOT(ISNUMBER($B1134)),"Needs a date",IF(INT($B1134)&lt;PlanDate,"Past due",IF(INT($B1134)=PlanDate,"Due today",IF(AND(INDEX(Buffers!$L:$L,MATCH($H1134,Buffers!$AE:$AE,0))="Planned",$E1134&gt;0,INT($B1134)&lt;=PlanDate+ROUNDUP(IF(ISNUMBER(SpikeHorizon),SpikeHorizon,INDEX(Buffers!$D:$D,MATCH($H1134,Buffers!$AE:$AE,0))),0),$E1134&gt;=SpikePct*INDEX(Buffers!$P:$P,MATCH($H1134,Buffers!$AE:$AE,0))),"Spike","Not qualified"))))))</f>
        <v/>
      </c>
      <c r="G1134" s="8" t="str">
        <f aca="false">IF($A1134="","",IF(OR($F1134="Past due",$F1134="Due today",$F1134="Spike"),$C1134,0))</f>
        <v/>
      </c>
      <c r="H1134" s="8" t="str">
        <f aca="false">IF($A1134="","",SUBSTITUTE(SUBSTITUTE(SUBSTITUTE($A1134&amp;"","~","~~"),"*","~*"),"?","~?"))</f>
        <v/>
      </c>
    </row>
    <row r="1135" customFormat="false" ht="15" hidden="false" customHeight="false" outlineLevel="0" collapsed="false">
      <c r="A1135" s="11"/>
      <c r="B1135" s="6"/>
      <c r="C1135" s="11"/>
      <c r="D1135" s="11"/>
      <c r="E1135" s="8" t="str">
        <f aca="false">IF($A1135="","",SUMIFS($C:$C,$A:$A,$H1135,$B:$B,"&gt;="&amp;INT($B1135),$B:$B,"&lt;"&amp;(INT($B1135)+1)))</f>
        <v/>
      </c>
      <c r="F1135" s="19" t="str">
        <f aca="false">IF($A1135="","",IF(ISNA(MATCH($H1135,Buffers!$AE:$AE,0)),"Not on Buffers",IF(NOT(ISNUMBER($B1135)),"Needs a date",IF(INT($B1135)&lt;PlanDate,"Past due",IF(INT($B1135)=PlanDate,"Due today",IF(AND(INDEX(Buffers!$L:$L,MATCH($H1135,Buffers!$AE:$AE,0))="Planned",$E1135&gt;0,INT($B1135)&lt;=PlanDate+ROUNDUP(IF(ISNUMBER(SpikeHorizon),SpikeHorizon,INDEX(Buffers!$D:$D,MATCH($H1135,Buffers!$AE:$AE,0))),0),$E1135&gt;=SpikePct*INDEX(Buffers!$P:$P,MATCH($H1135,Buffers!$AE:$AE,0))),"Spike","Not qualified"))))))</f>
        <v/>
      </c>
      <c r="G1135" s="8" t="str">
        <f aca="false">IF($A1135="","",IF(OR($F1135="Past due",$F1135="Due today",$F1135="Spike"),$C1135,0))</f>
        <v/>
      </c>
      <c r="H1135" s="8" t="str">
        <f aca="false">IF($A1135="","",SUBSTITUTE(SUBSTITUTE(SUBSTITUTE($A1135&amp;"","~","~~"),"*","~*"),"?","~?"))</f>
        <v/>
      </c>
    </row>
    <row r="1136" customFormat="false" ht="15" hidden="false" customHeight="false" outlineLevel="0" collapsed="false">
      <c r="A1136" s="11"/>
      <c r="B1136" s="6"/>
      <c r="C1136" s="11"/>
      <c r="D1136" s="11"/>
      <c r="E1136" s="8" t="str">
        <f aca="false">IF($A1136="","",SUMIFS($C:$C,$A:$A,$H1136,$B:$B,"&gt;="&amp;INT($B1136),$B:$B,"&lt;"&amp;(INT($B1136)+1)))</f>
        <v/>
      </c>
      <c r="F1136" s="19" t="str">
        <f aca="false">IF($A1136="","",IF(ISNA(MATCH($H1136,Buffers!$AE:$AE,0)),"Not on Buffers",IF(NOT(ISNUMBER($B1136)),"Needs a date",IF(INT($B1136)&lt;PlanDate,"Past due",IF(INT($B1136)=PlanDate,"Due today",IF(AND(INDEX(Buffers!$L:$L,MATCH($H1136,Buffers!$AE:$AE,0))="Planned",$E1136&gt;0,INT($B1136)&lt;=PlanDate+ROUNDUP(IF(ISNUMBER(SpikeHorizon),SpikeHorizon,INDEX(Buffers!$D:$D,MATCH($H1136,Buffers!$AE:$AE,0))),0),$E1136&gt;=SpikePct*INDEX(Buffers!$P:$P,MATCH($H1136,Buffers!$AE:$AE,0))),"Spike","Not qualified"))))))</f>
        <v/>
      </c>
      <c r="G1136" s="8" t="str">
        <f aca="false">IF($A1136="","",IF(OR($F1136="Past due",$F1136="Due today",$F1136="Spike"),$C1136,0))</f>
        <v/>
      </c>
      <c r="H1136" s="8" t="str">
        <f aca="false">IF($A1136="","",SUBSTITUTE(SUBSTITUTE(SUBSTITUTE($A1136&amp;"","~","~~"),"*","~*"),"?","~?"))</f>
        <v/>
      </c>
    </row>
    <row r="1137" customFormat="false" ht="15" hidden="false" customHeight="false" outlineLevel="0" collapsed="false">
      <c r="A1137" s="11"/>
      <c r="B1137" s="6"/>
      <c r="C1137" s="11"/>
      <c r="D1137" s="11"/>
      <c r="E1137" s="8" t="str">
        <f aca="false">IF($A1137="","",SUMIFS($C:$C,$A:$A,$H1137,$B:$B,"&gt;="&amp;INT($B1137),$B:$B,"&lt;"&amp;(INT($B1137)+1)))</f>
        <v/>
      </c>
      <c r="F1137" s="19" t="str">
        <f aca="false">IF($A1137="","",IF(ISNA(MATCH($H1137,Buffers!$AE:$AE,0)),"Not on Buffers",IF(NOT(ISNUMBER($B1137)),"Needs a date",IF(INT($B1137)&lt;PlanDate,"Past due",IF(INT($B1137)=PlanDate,"Due today",IF(AND(INDEX(Buffers!$L:$L,MATCH($H1137,Buffers!$AE:$AE,0))="Planned",$E1137&gt;0,INT($B1137)&lt;=PlanDate+ROUNDUP(IF(ISNUMBER(SpikeHorizon),SpikeHorizon,INDEX(Buffers!$D:$D,MATCH($H1137,Buffers!$AE:$AE,0))),0),$E1137&gt;=SpikePct*INDEX(Buffers!$P:$P,MATCH($H1137,Buffers!$AE:$AE,0))),"Spike","Not qualified"))))))</f>
        <v/>
      </c>
      <c r="G1137" s="8" t="str">
        <f aca="false">IF($A1137="","",IF(OR($F1137="Past due",$F1137="Due today",$F1137="Spike"),$C1137,0))</f>
        <v/>
      </c>
      <c r="H1137" s="8" t="str">
        <f aca="false">IF($A1137="","",SUBSTITUTE(SUBSTITUTE(SUBSTITUTE($A1137&amp;"","~","~~"),"*","~*"),"?","~?"))</f>
        <v/>
      </c>
    </row>
    <row r="1138" customFormat="false" ht="15" hidden="false" customHeight="false" outlineLevel="0" collapsed="false">
      <c r="A1138" s="11"/>
      <c r="B1138" s="6"/>
      <c r="C1138" s="11"/>
      <c r="D1138" s="11"/>
      <c r="E1138" s="8" t="str">
        <f aca="false">IF($A1138="","",SUMIFS($C:$C,$A:$A,$H1138,$B:$B,"&gt;="&amp;INT($B1138),$B:$B,"&lt;"&amp;(INT($B1138)+1)))</f>
        <v/>
      </c>
      <c r="F1138" s="19" t="str">
        <f aca="false">IF($A1138="","",IF(ISNA(MATCH($H1138,Buffers!$AE:$AE,0)),"Not on Buffers",IF(NOT(ISNUMBER($B1138)),"Needs a date",IF(INT($B1138)&lt;PlanDate,"Past due",IF(INT($B1138)=PlanDate,"Due today",IF(AND(INDEX(Buffers!$L:$L,MATCH($H1138,Buffers!$AE:$AE,0))="Planned",$E1138&gt;0,INT($B1138)&lt;=PlanDate+ROUNDUP(IF(ISNUMBER(SpikeHorizon),SpikeHorizon,INDEX(Buffers!$D:$D,MATCH($H1138,Buffers!$AE:$AE,0))),0),$E1138&gt;=SpikePct*INDEX(Buffers!$P:$P,MATCH($H1138,Buffers!$AE:$AE,0))),"Spike","Not qualified"))))))</f>
        <v/>
      </c>
      <c r="G1138" s="8" t="str">
        <f aca="false">IF($A1138="","",IF(OR($F1138="Past due",$F1138="Due today",$F1138="Spike"),$C1138,0))</f>
        <v/>
      </c>
      <c r="H1138" s="8" t="str">
        <f aca="false">IF($A1138="","",SUBSTITUTE(SUBSTITUTE(SUBSTITUTE($A1138&amp;"","~","~~"),"*","~*"),"?","~?"))</f>
        <v/>
      </c>
    </row>
    <row r="1139" customFormat="false" ht="15" hidden="false" customHeight="false" outlineLevel="0" collapsed="false">
      <c r="A1139" s="11"/>
      <c r="B1139" s="6"/>
      <c r="C1139" s="11"/>
      <c r="D1139" s="11"/>
      <c r="E1139" s="8" t="str">
        <f aca="false">IF($A1139="","",SUMIFS($C:$C,$A:$A,$H1139,$B:$B,"&gt;="&amp;INT($B1139),$B:$B,"&lt;"&amp;(INT($B1139)+1)))</f>
        <v/>
      </c>
      <c r="F1139" s="19" t="str">
        <f aca="false">IF($A1139="","",IF(ISNA(MATCH($H1139,Buffers!$AE:$AE,0)),"Not on Buffers",IF(NOT(ISNUMBER($B1139)),"Needs a date",IF(INT($B1139)&lt;PlanDate,"Past due",IF(INT($B1139)=PlanDate,"Due today",IF(AND(INDEX(Buffers!$L:$L,MATCH($H1139,Buffers!$AE:$AE,0))="Planned",$E1139&gt;0,INT($B1139)&lt;=PlanDate+ROUNDUP(IF(ISNUMBER(SpikeHorizon),SpikeHorizon,INDEX(Buffers!$D:$D,MATCH($H1139,Buffers!$AE:$AE,0))),0),$E1139&gt;=SpikePct*INDEX(Buffers!$P:$P,MATCH($H1139,Buffers!$AE:$AE,0))),"Spike","Not qualified"))))))</f>
        <v/>
      </c>
      <c r="G1139" s="8" t="str">
        <f aca="false">IF($A1139="","",IF(OR($F1139="Past due",$F1139="Due today",$F1139="Spike"),$C1139,0))</f>
        <v/>
      </c>
      <c r="H1139" s="8" t="str">
        <f aca="false">IF($A1139="","",SUBSTITUTE(SUBSTITUTE(SUBSTITUTE($A1139&amp;"","~","~~"),"*","~*"),"?","~?"))</f>
        <v/>
      </c>
    </row>
    <row r="1140" customFormat="false" ht="15" hidden="false" customHeight="false" outlineLevel="0" collapsed="false">
      <c r="A1140" s="11"/>
      <c r="B1140" s="6"/>
      <c r="C1140" s="11"/>
      <c r="D1140" s="11"/>
      <c r="E1140" s="8" t="str">
        <f aca="false">IF($A1140="","",SUMIFS($C:$C,$A:$A,$H1140,$B:$B,"&gt;="&amp;INT($B1140),$B:$B,"&lt;"&amp;(INT($B1140)+1)))</f>
        <v/>
      </c>
      <c r="F1140" s="19" t="str">
        <f aca="false">IF($A1140="","",IF(ISNA(MATCH($H1140,Buffers!$AE:$AE,0)),"Not on Buffers",IF(NOT(ISNUMBER($B1140)),"Needs a date",IF(INT($B1140)&lt;PlanDate,"Past due",IF(INT($B1140)=PlanDate,"Due today",IF(AND(INDEX(Buffers!$L:$L,MATCH($H1140,Buffers!$AE:$AE,0))="Planned",$E1140&gt;0,INT($B1140)&lt;=PlanDate+ROUNDUP(IF(ISNUMBER(SpikeHorizon),SpikeHorizon,INDEX(Buffers!$D:$D,MATCH($H1140,Buffers!$AE:$AE,0))),0),$E1140&gt;=SpikePct*INDEX(Buffers!$P:$P,MATCH($H1140,Buffers!$AE:$AE,0))),"Spike","Not qualified"))))))</f>
        <v/>
      </c>
      <c r="G1140" s="8" t="str">
        <f aca="false">IF($A1140="","",IF(OR($F1140="Past due",$F1140="Due today",$F1140="Spike"),$C1140,0))</f>
        <v/>
      </c>
      <c r="H1140" s="8" t="str">
        <f aca="false">IF($A1140="","",SUBSTITUTE(SUBSTITUTE(SUBSTITUTE($A1140&amp;"","~","~~"),"*","~*"),"?","~?"))</f>
        <v/>
      </c>
    </row>
    <row r="1141" customFormat="false" ht="15" hidden="false" customHeight="false" outlineLevel="0" collapsed="false">
      <c r="A1141" s="11"/>
      <c r="B1141" s="6"/>
      <c r="C1141" s="11"/>
      <c r="D1141" s="11"/>
      <c r="E1141" s="8" t="str">
        <f aca="false">IF($A1141="","",SUMIFS($C:$C,$A:$A,$H1141,$B:$B,"&gt;="&amp;INT($B1141),$B:$B,"&lt;"&amp;(INT($B1141)+1)))</f>
        <v/>
      </c>
      <c r="F1141" s="19" t="str">
        <f aca="false">IF($A1141="","",IF(ISNA(MATCH($H1141,Buffers!$AE:$AE,0)),"Not on Buffers",IF(NOT(ISNUMBER($B1141)),"Needs a date",IF(INT($B1141)&lt;PlanDate,"Past due",IF(INT($B1141)=PlanDate,"Due today",IF(AND(INDEX(Buffers!$L:$L,MATCH($H1141,Buffers!$AE:$AE,0))="Planned",$E1141&gt;0,INT($B1141)&lt;=PlanDate+ROUNDUP(IF(ISNUMBER(SpikeHorizon),SpikeHorizon,INDEX(Buffers!$D:$D,MATCH($H1141,Buffers!$AE:$AE,0))),0),$E1141&gt;=SpikePct*INDEX(Buffers!$P:$P,MATCH($H1141,Buffers!$AE:$AE,0))),"Spike","Not qualified"))))))</f>
        <v/>
      </c>
      <c r="G1141" s="8" t="str">
        <f aca="false">IF($A1141="","",IF(OR($F1141="Past due",$F1141="Due today",$F1141="Spike"),$C1141,0))</f>
        <v/>
      </c>
      <c r="H1141" s="8" t="str">
        <f aca="false">IF($A1141="","",SUBSTITUTE(SUBSTITUTE(SUBSTITUTE($A1141&amp;"","~","~~"),"*","~*"),"?","~?"))</f>
        <v/>
      </c>
    </row>
    <row r="1142" customFormat="false" ht="15" hidden="false" customHeight="false" outlineLevel="0" collapsed="false">
      <c r="A1142" s="11"/>
      <c r="B1142" s="6"/>
      <c r="C1142" s="11"/>
      <c r="D1142" s="11"/>
      <c r="E1142" s="8" t="str">
        <f aca="false">IF($A1142="","",SUMIFS($C:$C,$A:$A,$H1142,$B:$B,"&gt;="&amp;INT($B1142),$B:$B,"&lt;"&amp;(INT($B1142)+1)))</f>
        <v/>
      </c>
      <c r="F1142" s="19" t="str">
        <f aca="false">IF($A1142="","",IF(ISNA(MATCH($H1142,Buffers!$AE:$AE,0)),"Not on Buffers",IF(NOT(ISNUMBER($B1142)),"Needs a date",IF(INT($B1142)&lt;PlanDate,"Past due",IF(INT($B1142)=PlanDate,"Due today",IF(AND(INDEX(Buffers!$L:$L,MATCH($H1142,Buffers!$AE:$AE,0))="Planned",$E1142&gt;0,INT($B1142)&lt;=PlanDate+ROUNDUP(IF(ISNUMBER(SpikeHorizon),SpikeHorizon,INDEX(Buffers!$D:$D,MATCH($H1142,Buffers!$AE:$AE,0))),0),$E1142&gt;=SpikePct*INDEX(Buffers!$P:$P,MATCH($H1142,Buffers!$AE:$AE,0))),"Spike","Not qualified"))))))</f>
        <v/>
      </c>
      <c r="G1142" s="8" t="str">
        <f aca="false">IF($A1142="","",IF(OR($F1142="Past due",$F1142="Due today",$F1142="Spike"),$C1142,0))</f>
        <v/>
      </c>
      <c r="H1142" s="8" t="str">
        <f aca="false">IF($A1142="","",SUBSTITUTE(SUBSTITUTE(SUBSTITUTE($A1142&amp;"","~","~~"),"*","~*"),"?","~?"))</f>
        <v/>
      </c>
    </row>
    <row r="1143" customFormat="false" ht="15" hidden="false" customHeight="false" outlineLevel="0" collapsed="false">
      <c r="A1143" s="11"/>
      <c r="B1143" s="6"/>
      <c r="C1143" s="11"/>
      <c r="D1143" s="11"/>
      <c r="E1143" s="8" t="str">
        <f aca="false">IF($A1143="","",SUMIFS($C:$C,$A:$A,$H1143,$B:$B,"&gt;="&amp;INT($B1143),$B:$B,"&lt;"&amp;(INT($B1143)+1)))</f>
        <v/>
      </c>
      <c r="F1143" s="19" t="str">
        <f aca="false">IF($A1143="","",IF(ISNA(MATCH($H1143,Buffers!$AE:$AE,0)),"Not on Buffers",IF(NOT(ISNUMBER($B1143)),"Needs a date",IF(INT($B1143)&lt;PlanDate,"Past due",IF(INT($B1143)=PlanDate,"Due today",IF(AND(INDEX(Buffers!$L:$L,MATCH($H1143,Buffers!$AE:$AE,0))="Planned",$E1143&gt;0,INT($B1143)&lt;=PlanDate+ROUNDUP(IF(ISNUMBER(SpikeHorizon),SpikeHorizon,INDEX(Buffers!$D:$D,MATCH($H1143,Buffers!$AE:$AE,0))),0),$E1143&gt;=SpikePct*INDEX(Buffers!$P:$P,MATCH($H1143,Buffers!$AE:$AE,0))),"Spike","Not qualified"))))))</f>
        <v/>
      </c>
      <c r="G1143" s="8" t="str">
        <f aca="false">IF($A1143="","",IF(OR($F1143="Past due",$F1143="Due today",$F1143="Spike"),$C1143,0))</f>
        <v/>
      </c>
      <c r="H1143" s="8" t="str">
        <f aca="false">IF($A1143="","",SUBSTITUTE(SUBSTITUTE(SUBSTITUTE($A1143&amp;"","~","~~"),"*","~*"),"?","~?"))</f>
        <v/>
      </c>
    </row>
    <row r="1144" customFormat="false" ht="15" hidden="false" customHeight="false" outlineLevel="0" collapsed="false">
      <c r="A1144" s="11"/>
      <c r="B1144" s="6"/>
      <c r="C1144" s="11"/>
      <c r="D1144" s="11"/>
      <c r="E1144" s="8" t="str">
        <f aca="false">IF($A1144="","",SUMIFS($C:$C,$A:$A,$H1144,$B:$B,"&gt;="&amp;INT($B1144),$B:$B,"&lt;"&amp;(INT($B1144)+1)))</f>
        <v/>
      </c>
      <c r="F1144" s="19" t="str">
        <f aca="false">IF($A1144="","",IF(ISNA(MATCH($H1144,Buffers!$AE:$AE,0)),"Not on Buffers",IF(NOT(ISNUMBER($B1144)),"Needs a date",IF(INT($B1144)&lt;PlanDate,"Past due",IF(INT($B1144)=PlanDate,"Due today",IF(AND(INDEX(Buffers!$L:$L,MATCH($H1144,Buffers!$AE:$AE,0))="Planned",$E1144&gt;0,INT($B1144)&lt;=PlanDate+ROUNDUP(IF(ISNUMBER(SpikeHorizon),SpikeHorizon,INDEX(Buffers!$D:$D,MATCH($H1144,Buffers!$AE:$AE,0))),0),$E1144&gt;=SpikePct*INDEX(Buffers!$P:$P,MATCH($H1144,Buffers!$AE:$AE,0))),"Spike","Not qualified"))))))</f>
        <v/>
      </c>
      <c r="G1144" s="8" t="str">
        <f aca="false">IF($A1144="","",IF(OR($F1144="Past due",$F1144="Due today",$F1144="Spike"),$C1144,0))</f>
        <v/>
      </c>
      <c r="H1144" s="8" t="str">
        <f aca="false">IF($A1144="","",SUBSTITUTE(SUBSTITUTE(SUBSTITUTE($A1144&amp;"","~","~~"),"*","~*"),"?","~?"))</f>
        <v/>
      </c>
    </row>
    <row r="1145" customFormat="false" ht="15" hidden="false" customHeight="false" outlineLevel="0" collapsed="false">
      <c r="A1145" s="11"/>
      <c r="B1145" s="6"/>
      <c r="C1145" s="11"/>
      <c r="D1145" s="11"/>
      <c r="E1145" s="8" t="str">
        <f aca="false">IF($A1145="","",SUMIFS($C:$C,$A:$A,$H1145,$B:$B,"&gt;="&amp;INT($B1145),$B:$B,"&lt;"&amp;(INT($B1145)+1)))</f>
        <v/>
      </c>
      <c r="F1145" s="19" t="str">
        <f aca="false">IF($A1145="","",IF(ISNA(MATCH($H1145,Buffers!$AE:$AE,0)),"Not on Buffers",IF(NOT(ISNUMBER($B1145)),"Needs a date",IF(INT($B1145)&lt;PlanDate,"Past due",IF(INT($B1145)=PlanDate,"Due today",IF(AND(INDEX(Buffers!$L:$L,MATCH($H1145,Buffers!$AE:$AE,0))="Planned",$E1145&gt;0,INT($B1145)&lt;=PlanDate+ROUNDUP(IF(ISNUMBER(SpikeHorizon),SpikeHorizon,INDEX(Buffers!$D:$D,MATCH($H1145,Buffers!$AE:$AE,0))),0),$E1145&gt;=SpikePct*INDEX(Buffers!$P:$P,MATCH($H1145,Buffers!$AE:$AE,0))),"Spike","Not qualified"))))))</f>
        <v/>
      </c>
      <c r="G1145" s="8" t="str">
        <f aca="false">IF($A1145="","",IF(OR($F1145="Past due",$F1145="Due today",$F1145="Spike"),$C1145,0))</f>
        <v/>
      </c>
      <c r="H1145" s="8" t="str">
        <f aca="false">IF($A1145="","",SUBSTITUTE(SUBSTITUTE(SUBSTITUTE($A1145&amp;"","~","~~"),"*","~*"),"?","~?"))</f>
        <v/>
      </c>
    </row>
    <row r="1146" customFormat="false" ht="15" hidden="false" customHeight="false" outlineLevel="0" collapsed="false">
      <c r="A1146" s="11"/>
      <c r="B1146" s="6"/>
      <c r="C1146" s="11"/>
      <c r="D1146" s="11"/>
      <c r="E1146" s="8" t="str">
        <f aca="false">IF($A1146="","",SUMIFS($C:$C,$A:$A,$H1146,$B:$B,"&gt;="&amp;INT($B1146),$B:$B,"&lt;"&amp;(INT($B1146)+1)))</f>
        <v/>
      </c>
      <c r="F1146" s="19" t="str">
        <f aca="false">IF($A1146="","",IF(ISNA(MATCH($H1146,Buffers!$AE:$AE,0)),"Not on Buffers",IF(NOT(ISNUMBER($B1146)),"Needs a date",IF(INT($B1146)&lt;PlanDate,"Past due",IF(INT($B1146)=PlanDate,"Due today",IF(AND(INDEX(Buffers!$L:$L,MATCH($H1146,Buffers!$AE:$AE,0))="Planned",$E1146&gt;0,INT($B1146)&lt;=PlanDate+ROUNDUP(IF(ISNUMBER(SpikeHorizon),SpikeHorizon,INDEX(Buffers!$D:$D,MATCH($H1146,Buffers!$AE:$AE,0))),0),$E1146&gt;=SpikePct*INDEX(Buffers!$P:$P,MATCH($H1146,Buffers!$AE:$AE,0))),"Spike","Not qualified"))))))</f>
        <v/>
      </c>
      <c r="G1146" s="8" t="str">
        <f aca="false">IF($A1146="","",IF(OR($F1146="Past due",$F1146="Due today",$F1146="Spike"),$C1146,0))</f>
        <v/>
      </c>
      <c r="H1146" s="8" t="str">
        <f aca="false">IF($A1146="","",SUBSTITUTE(SUBSTITUTE(SUBSTITUTE($A1146&amp;"","~","~~"),"*","~*"),"?","~?"))</f>
        <v/>
      </c>
    </row>
    <row r="1147" customFormat="false" ht="15" hidden="false" customHeight="false" outlineLevel="0" collapsed="false">
      <c r="A1147" s="11"/>
      <c r="B1147" s="6"/>
      <c r="C1147" s="11"/>
      <c r="D1147" s="11"/>
      <c r="E1147" s="8" t="str">
        <f aca="false">IF($A1147="","",SUMIFS($C:$C,$A:$A,$H1147,$B:$B,"&gt;="&amp;INT($B1147),$B:$B,"&lt;"&amp;(INT($B1147)+1)))</f>
        <v/>
      </c>
      <c r="F1147" s="19" t="str">
        <f aca="false">IF($A1147="","",IF(ISNA(MATCH($H1147,Buffers!$AE:$AE,0)),"Not on Buffers",IF(NOT(ISNUMBER($B1147)),"Needs a date",IF(INT($B1147)&lt;PlanDate,"Past due",IF(INT($B1147)=PlanDate,"Due today",IF(AND(INDEX(Buffers!$L:$L,MATCH($H1147,Buffers!$AE:$AE,0))="Planned",$E1147&gt;0,INT($B1147)&lt;=PlanDate+ROUNDUP(IF(ISNUMBER(SpikeHorizon),SpikeHorizon,INDEX(Buffers!$D:$D,MATCH($H1147,Buffers!$AE:$AE,0))),0),$E1147&gt;=SpikePct*INDEX(Buffers!$P:$P,MATCH($H1147,Buffers!$AE:$AE,0))),"Spike","Not qualified"))))))</f>
        <v/>
      </c>
      <c r="G1147" s="8" t="str">
        <f aca="false">IF($A1147="","",IF(OR($F1147="Past due",$F1147="Due today",$F1147="Spike"),$C1147,0))</f>
        <v/>
      </c>
      <c r="H1147" s="8" t="str">
        <f aca="false">IF($A1147="","",SUBSTITUTE(SUBSTITUTE(SUBSTITUTE($A1147&amp;"","~","~~"),"*","~*"),"?","~?"))</f>
        <v/>
      </c>
    </row>
    <row r="1148" customFormat="false" ht="15" hidden="false" customHeight="false" outlineLevel="0" collapsed="false">
      <c r="A1148" s="11"/>
      <c r="B1148" s="6"/>
      <c r="C1148" s="11"/>
      <c r="D1148" s="11"/>
      <c r="E1148" s="8" t="str">
        <f aca="false">IF($A1148="","",SUMIFS($C:$C,$A:$A,$H1148,$B:$B,"&gt;="&amp;INT($B1148),$B:$B,"&lt;"&amp;(INT($B1148)+1)))</f>
        <v/>
      </c>
      <c r="F1148" s="19" t="str">
        <f aca="false">IF($A1148="","",IF(ISNA(MATCH($H1148,Buffers!$AE:$AE,0)),"Not on Buffers",IF(NOT(ISNUMBER($B1148)),"Needs a date",IF(INT($B1148)&lt;PlanDate,"Past due",IF(INT($B1148)=PlanDate,"Due today",IF(AND(INDEX(Buffers!$L:$L,MATCH($H1148,Buffers!$AE:$AE,0))="Planned",$E1148&gt;0,INT($B1148)&lt;=PlanDate+ROUNDUP(IF(ISNUMBER(SpikeHorizon),SpikeHorizon,INDEX(Buffers!$D:$D,MATCH($H1148,Buffers!$AE:$AE,0))),0),$E1148&gt;=SpikePct*INDEX(Buffers!$P:$P,MATCH($H1148,Buffers!$AE:$AE,0))),"Spike","Not qualified"))))))</f>
        <v/>
      </c>
      <c r="G1148" s="8" t="str">
        <f aca="false">IF($A1148="","",IF(OR($F1148="Past due",$F1148="Due today",$F1148="Spike"),$C1148,0))</f>
        <v/>
      </c>
      <c r="H1148" s="8" t="str">
        <f aca="false">IF($A1148="","",SUBSTITUTE(SUBSTITUTE(SUBSTITUTE($A1148&amp;"","~","~~"),"*","~*"),"?","~?"))</f>
        <v/>
      </c>
    </row>
    <row r="1149" customFormat="false" ht="15" hidden="false" customHeight="false" outlineLevel="0" collapsed="false">
      <c r="A1149" s="11"/>
      <c r="B1149" s="6"/>
      <c r="C1149" s="11"/>
      <c r="D1149" s="11"/>
      <c r="E1149" s="8" t="str">
        <f aca="false">IF($A1149="","",SUMIFS($C:$C,$A:$A,$H1149,$B:$B,"&gt;="&amp;INT($B1149),$B:$B,"&lt;"&amp;(INT($B1149)+1)))</f>
        <v/>
      </c>
      <c r="F1149" s="19" t="str">
        <f aca="false">IF($A1149="","",IF(ISNA(MATCH($H1149,Buffers!$AE:$AE,0)),"Not on Buffers",IF(NOT(ISNUMBER($B1149)),"Needs a date",IF(INT($B1149)&lt;PlanDate,"Past due",IF(INT($B1149)=PlanDate,"Due today",IF(AND(INDEX(Buffers!$L:$L,MATCH($H1149,Buffers!$AE:$AE,0))="Planned",$E1149&gt;0,INT($B1149)&lt;=PlanDate+ROUNDUP(IF(ISNUMBER(SpikeHorizon),SpikeHorizon,INDEX(Buffers!$D:$D,MATCH($H1149,Buffers!$AE:$AE,0))),0),$E1149&gt;=SpikePct*INDEX(Buffers!$P:$P,MATCH($H1149,Buffers!$AE:$AE,0))),"Spike","Not qualified"))))))</f>
        <v/>
      </c>
      <c r="G1149" s="8" t="str">
        <f aca="false">IF($A1149="","",IF(OR($F1149="Past due",$F1149="Due today",$F1149="Spike"),$C1149,0))</f>
        <v/>
      </c>
      <c r="H1149" s="8" t="str">
        <f aca="false">IF($A1149="","",SUBSTITUTE(SUBSTITUTE(SUBSTITUTE($A1149&amp;"","~","~~"),"*","~*"),"?","~?"))</f>
        <v/>
      </c>
    </row>
    <row r="1150" customFormat="false" ht="15" hidden="false" customHeight="false" outlineLevel="0" collapsed="false">
      <c r="A1150" s="11"/>
      <c r="B1150" s="6"/>
      <c r="C1150" s="11"/>
      <c r="D1150" s="11"/>
      <c r="E1150" s="8" t="str">
        <f aca="false">IF($A1150="","",SUMIFS($C:$C,$A:$A,$H1150,$B:$B,"&gt;="&amp;INT($B1150),$B:$B,"&lt;"&amp;(INT($B1150)+1)))</f>
        <v/>
      </c>
      <c r="F1150" s="19" t="str">
        <f aca="false">IF($A1150="","",IF(ISNA(MATCH($H1150,Buffers!$AE:$AE,0)),"Not on Buffers",IF(NOT(ISNUMBER($B1150)),"Needs a date",IF(INT($B1150)&lt;PlanDate,"Past due",IF(INT($B1150)=PlanDate,"Due today",IF(AND(INDEX(Buffers!$L:$L,MATCH($H1150,Buffers!$AE:$AE,0))="Planned",$E1150&gt;0,INT($B1150)&lt;=PlanDate+ROUNDUP(IF(ISNUMBER(SpikeHorizon),SpikeHorizon,INDEX(Buffers!$D:$D,MATCH($H1150,Buffers!$AE:$AE,0))),0),$E1150&gt;=SpikePct*INDEX(Buffers!$P:$P,MATCH($H1150,Buffers!$AE:$AE,0))),"Spike","Not qualified"))))))</f>
        <v/>
      </c>
      <c r="G1150" s="8" t="str">
        <f aca="false">IF($A1150="","",IF(OR($F1150="Past due",$F1150="Due today",$F1150="Spike"),$C1150,0))</f>
        <v/>
      </c>
      <c r="H1150" s="8" t="str">
        <f aca="false">IF($A1150="","",SUBSTITUTE(SUBSTITUTE(SUBSTITUTE($A1150&amp;"","~","~~"),"*","~*"),"?","~?"))</f>
        <v/>
      </c>
    </row>
    <row r="1151" customFormat="false" ht="15" hidden="false" customHeight="false" outlineLevel="0" collapsed="false">
      <c r="A1151" s="11"/>
      <c r="B1151" s="6"/>
      <c r="C1151" s="11"/>
      <c r="D1151" s="11"/>
      <c r="E1151" s="8" t="str">
        <f aca="false">IF($A1151="","",SUMIFS($C:$C,$A:$A,$H1151,$B:$B,"&gt;="&amp;INT($B1151),$B:$B,"&lt;"&amp;(INT($B1151)+1)))</f>
        <v/>
      </c>
      <c r="F1151" s="19" t="str">
        <f aca="false">IF($A1151="","",IF(ISNA(MATCH($H1151,Buffers!$AE:$AE,0)),"Not on Buffers",IF(NOT(ISNUMBER($B1151)),"Needs a date",IF(INT($B1151)&lt;PlanDate,"Past due",IF(INT($B1151)=PlanDate,"Due today",IF(AND(INDEX(Buffers!$L:$L,MATCH($H1151,Buffers!$AE:$AE,0))="Planned",$E1151&gt;0,INT($B1151)&lt;=PlanDate+ROUNDUP(IF(ISNUMBER(SpikeHorizon),SpikeHorizon,INDEX(Buffers!$D:$D,MATCH($H1151,Buffers!$AE:$AE,0))),0),$E1151&gt;=SpikePct*INDEX(Buffers!$P:$P,MATCH($H1151,Buffers!$AE:$AE,0))),"Spike","Not qualified"))))))</f>
        <v/>
      </c>
      <c r="G1151" s="8" t="str">
        <f aca="false">IF($A1151="","",IF(OR($F1151="Past due",$F1151="Due today",$F1151="Spike"),$C1151,0))</f>
        <v/>
      </c>
      <c r="H1151" s="8" t="str">
        <f aca="false">IF($A1151="","",SUBSTITUTE(SUBSTITUTE(SUBSTITUTE($A1151&amp;"","~","~~"),"*","~*"),"?","~?"))</f>
        <v/>
      </c>
    </row>
    <row r="1152" customFormat="false" ht="15" hidden="false" customHeight="false" outlineLevel="0" collapsed="false">
      <c r="A1152" s="11"/>
      <c r="B1152" s="6"/>
      <c r="C1152" s="11"/>
      <c r="D1152" s="11"/>
      <c r="E1152" s="8" t="str">
        <f aca="false">IF($A1152="","",SUMIFS($C:$C,$A:$A,$H1152,$B:$B,"&gt;="&amp;INT($B1152),$B:$B,"&lt;"&amp;(INT($B1152)+1)))</f>
        <v/>
      </c>
      <c r="F1152" s="19" t="str">
        <f aca="false">IF($A1152="","",IF(ISNA(MATCH($H1152,Buffers!$AE:$AE,0)),"Not on Buffers",IF(NOT(ISNUMBER($B1152)),"Needs a date",IF(INT($B1152)&lt;PlanDate,"Past due",IF(INT($B1152)=PlanDate,"Due today",IF(AND(INDEX(Buffers!$L:$L,MATCH($H1152,Buffers!$AE:$AE,0))="Planned",$E1152&gt;0,INT($B1152)&lt;=PlanDate+ROUNDUP(IF(ISNUMBER(SpikeHorizon),SpikeHorizon,INDEX(Buffers!$D:$D,MATCH($H1152,Buffers!$AE:$AE,0))),0),$E1152&gt;=SpikePct*INDEX(Buffers!$P:$P,MATCH($H1152,Buffers!$AE:$AE,0))),"Spike","Not qualified"))))))</f>
        <v/>
      </c>
      <c r="G1152" s="8" t="str">
        <f aca="false">IF($A1152="","",IF(OR($F1152="Past due",$F1152="Due today",$F1152="Spike"),$C1152,0))</f>
        <v/>
      </c>
      <c r="H1152" s="8" t="str">
        <f aca="false">IF($A1152="","",SUBSTITUTE(SUBSTITUTE(SUBSTITUTE($A1152&amp;"","~","~~"),"*","~*"),"?","~?"))</f>
        <v/>
      </c>
    </row>
    <row r="1153" customFormat="false" ht="15" hidden="false" customHeight="false" outlineLevel="0" collapsed="false">
      <c r="A1153" s="11"/>
      <c r="B1153" s="6"/>
      <c r="C1153" s="11"/>
      <c r="D1153" s="11"/>
      <c r="E1153" s="8" t="str">
        <f aca="false">IF($A1153="","",SUMIFS($C:$C,$A:$A,$H1153,$B:$B,"&gt;="&amp;INT($B1153),$B:$B,"&lt;"&amp;(INT($B1153)+1)))</f>
        <v/>
      </c>
      <c r="F1153" s="19" t="str">
        <f aca="false">IF($A1153="","",IF(ISNA(MATCH($H1153,Buffers!$AE:$AE,0)),"Not on Buffers",IF(NOT(ISNUMBER($B1153)),"Needs a date",IF(INT($B1153)&lt;PlanDate,"Past due",IF(INT($B1153)=PlanDate,"Due today",IF(AND(INDEX(Buffers!$L:$L,MATCH($H1153,Buffers!$AE:$AE,0))="Planned",$E1153&gt;0,INT($B1153)&lt;=PlanDate+ROUNDUP(IF(ISNUMBER(SpikeHorizon),SpikeHorizon,INDEX(Buffers!$D:$D,MATCH($H1153,Buffers!$AE:$AE,0))),0),$E1153&gt;=SpikePct*INDEX(Buffers!$P:$P,MATCH($H1153,Buffers!$AE:$AE,0))),"Spike","Not qualified"))))))</f>
        <v/>
      </c>
      <c r="G1153" s="8" t="str">
        <f aca="false">IF($A1153="","",IF(OR($F1153="Past due",$F1153="Due today",$F1153="Spike"),$C1153,0))</f>
        <v/>
      </c>
      <c r="H1153" s="8" t="str">
        <f aca="false">IF($A1153="","",SUBSTITUTE(SUBSTITUTE(SUBSTITUTE($A1153&amp;"","~","~~"),"*","~*"),"?","~?"))</f>
        <v/>
      </c>
    </row>
    <row r="1154" customFormat="false" ht="15" hidden="false" customHeight="false" outlineLevel="0" collapsed="false">
      <c r="A1154" s="11"/>
      <c r="B1154" s="6"/>
      <c r="C1154" s="11"/>
      <c r="D1154" s="11"/>
      <c r="E1154" s="8" t="str">
        <f aca="false">IF($A1154="","",SUMIFS($C:$C,$A:$A,$H1154,$B:$B,"&gt;="&amp;INT($B1154),$B:$B,"&lt;"&amp;(INT($B1154)+1)))</f>
        <v/>
      </c>
      <c r="F1154" s="19" t="str">
        <f aca="false">IF($A1154="","",IF(ISNA(MATCH($H1154,Buffers!$AE:$AE,0)),"Not on Buffers",IF(NOT(ISNUMBER($B1154)),"Needs a date",IF(INT($B1154)&lt;PlanDate,"Past due",IF(INT($B1154)=PlanDate,"Due today",IF(AND(INDEX(Buffers!$L:$L,MATCH($H1154,Buffers!$AE:$AE,0))="Planned",$E1154&gt;0,INT($B1154)&lt;=PlanDate+ROUNDUP(IF(ISNUMBER(SpikeHorizon),SpikeHorizon,INDEX(Buffers!$D:$D,MATCH($H1154,Buffers!$AE:$AE,0))),0),$E1154&gt;=SpikePct*INDEX(Buffers!$P:$P,MATCH($H1154,Buffers!$AE:$AE,0))),"Spike","Not qualified"))))))</f>
        <v/>
      </c>
      <c r="G1154" s="8" t="str">
        <f aca="false">IF($A1154="","",IF(OR($F1154="Past due",$F1154="Due today",$F1154="Spike"),$C1154,0))</f>
        <v/>
      </c>
      <c r="H1154" s="8" t="str">
        <f aca="false">IF($A1154="","",SUBSTITUTE(SUBSTITUTE(SUBSTITUTE($A1154&amp;"","~","~~"),"*","~*"),"?","~?"))</f>
        <v/>
      </c>
    </row>
    <row r="1155" customFormat="false" ht="15" hidden="false" customHeight="false" outlineLevel="0" collapsed="false">
      <c r="A1155" s="11"/>
      <c r="B1155" s="6"/>
      <c r="C1155" s="11"/>
      <c r="D1155" s="11"/>
      <c r="E1155" s="8" t="str">
        <f aca="false">IF($A1155="","",SUMIFS($C:$C,$A:$A,$H1155,$B:$B,"&gt;="&amp;INT($B1155),$B:$B,"&lt;"&amp;(INT($B1155)+1)))</f>
        <v/>
      </c>
      <c r="F1155" s="19" t="str">
        <f aca="false">IF($A1155="","",IF(ISNA(MATCH($H1155,Buffers!$AE:$AE,0)),"Not on Buffers",IF(NOT(ISNUMBER($B1155)),"Needs a date",IF(INT($B1155)&lt;PlanDate,"Past due",IF(INT($B1155)=PlanDate,"Due today",IF(AND(INDEX(Buffers!$L:$L,MATCH($H1155,Buffers!$AE:$AE,0))="Planned",$E1155&gt;0,INT($B1155)&lt;=PlanDate+ROUNDUP(IF(ISNUMBER(SpikeHorizon),SpikeHorizon,INDEX(Buffers!$D:$D,MATCH($H1155,Buffers!$AE:$AE,0))),0),$E1155&gt;=SpikePct*INDEX(Buffers!$P:$P,MATCH($H1155,Buffers!$AE:$AE,0))),"Spike","Not qualified"))))))</f>
        <v/>
      </c>
      <c r="G1155" s="8" t="str">
        <f aca="false">IF($A1155="","",IF(OR($F1155="Past due",$F1155="Due today",$F1155="Spike"),$C1155,0))</f>
        <v/>
      </c>
      <c r="H1155" s="8" t="str">
        <f aca="false">IF($A1155="","",SUBSTITUTE(SUBSTITUTE(SUBSTITUTE($A1155&amp;"","~","~~"),"*","~*"),"?","~?"))</f>
        <v/>
      </c>
    </row>
    <row r="1156" customFormat="false" ht="15" hidden="false" customHeight="false" outlineLevel="0" collapsed="false">
      <c r="A1156" s="11"/>
      <c r="B1156" s="6"/>
      <c r="C1156" s="11"/>
      <c r="D1156" s="11"/>
      <c r="E1156" s="8" t="str">
        <f aca="false">IF($A1156="","",SUMIFS($C:$C,$A:$A,$H1156,$B:$B,"&gt;="&amp;INT($B1156),$B:$B,"&lt;"&amp;(INT($B1156)+1)))</f>
        <v/>
      </c>
      <c r="F1156" s="19" t="str">
        <f aca="false">IF($A1156="","",IF(ISNA(MATCH($H1156,Buffers!$AE:$AE,0)),"Not on Buffers",IF(NOT(ISNUMBER($B1156)),"Needs a date",IF(INT($B1156)&lt;PlanDate,"Past due",IF(INT($B1156)=PlanDate,"Due today",IF(AND(INDEX(Buffers!$L:$L,MATCH($H1156,Buffers!$AE:$AE,0))="Planned",$E1156&gt;0,INT($B1156)&lt;=PlanDate+ROUNDUP(IF(ISNUMBER(SpikeHorizon),SpikeHorizon,INDEX(Buffers!$D:$D,MATCH($H1156,Buffers!$AE:$AE,0))),0),$E1156&gt;=SpikePct*INDEX(Buffers!$P:$P,MATCH($H1156,Buffers!$AE:$AE,0))),"Spike","Not qualified"))))))</f>
        <v/>
      </c>
      <c r="G1156" s="8" t="str">
        <f aca="false">IF($A1156="","",IF(OR($F1156="Past due",$F1156="Due today",$F1156="Spike"),$C1156,0))</f>
        <v/>
      </c>
      <c r="H1156" s="8" t="str">
        <f aca="false">IF($A1156="","",SUBSTITUTE(SUBSTITUTE(SUBSTITUTE($A1156&amp;"","~","~~"),"*","~*"),"?","~?"))</f>
        <v/>
      </c>
    </row>
    <row r="1157" customFormat="false" ht="15" hidden="false" customHeight="false" outlineLevel="0" collapsed="false">
      <c r="A1157" s="11"/>
      <c r="B1157" s="6"/>
      <c r="C1157" s="11"/>
      <c r="D1157" s="11"/>
      <c r="E1157" s="8" t="str">
        <f aca="false">IF($A1157="","",SUMIFS($C:$C,$A:$A,$H1157,$B:$B,"&gt;="&amp;INT($B1157),$B:$B,"&lt;"&amp;(INT($B1157)+1)))</f>
        <v/>
      </c>
      <c r="F1157" s="19" t="str">
        <f aca="false">IF($A1157="","",IF(ISNA(MATCH($H1157,Buffers!$AE:$AE,0)),"Not on Buffers",IF(NOT(ISNUMBER($B1157)),"Needs a date",IF(INT($B1157)&lt;PlanDate,"Past due",IF(INT($B1157)=PlanDate,"Due today",IF(AND(INDEX(Buffers!$L:$L,MATCH($H1157,Buffers!$AE:$AE,0))="Planned",$E1157&gt;0,INT($B1157)&lt;=PlanDate+ROUNDUP(IF(ISNUMBER(SpikeHorizon),SpikeHorizon,INDEX(Buffers!$D:$D,MATCH($H1157,Buffers!$AE:$AE,0))),0),$E1157&gt;=SpikePct*INDEX(Buffers!$P:$P,MATCH($H1157,Buffers!$AE:$AE,0))),"Spike","Not qualified"))))))</f>
        <v/>
      </c>
      <c r="G1157" s="8" t="str">
        <f aca="false">IF($A1157="","",IF(OR($F1157="Past due",$F1157="Due today",$F1157="Spike"),$C1157,0))</f>
        <v/>
      </c>
      <c r="H1157" s="8" t="str">
        <f aca="false">IF($A1157="","",SUBSTITUTE(SUBSTITUTE(SUBSTITUTE($A1157&amp;"","~","~~"),"*","~*"),"?","~?"))</f>
        <v/>
      </c>
    </row>
    <row r="1158" customFormat="false" ht="15" hidden="false" customHeight="false" outlineLevel="0" collapsed="false">
      <c r="A1158" s="11"/>
      <c r="B1158" s="6"/>
      <c r="C1158" s="11"/>
      <c r="D1158" s="11"/>
      <c r="E1158" s="8" t="str">
        <f aca="false">IF($A1158="","",SUMIFS($C:$C,$A:$A,$H1158,$B:$B,"&gt;="&amp;INT($B1158),$B:$B,"&lt;"&amp;(INT($B1158)+1)))</f>
        <v/>
      </c>
      <c r="F1158" s="19" t="str">
        <f aca="false">IF($A1158="","",IF(ISNA(MATCH($H1158,Buffers!$AE:$AE,0)),"Not on Buffers",IF(NOT(ISNUMBER($B1158)),"Needs a date",IF(INT($B1158)&lt;PlanDate,"Past due",IF(INT($B1158)=PlanDate,"Due today",IF(AND(INDEX(Buffers!$L:$L,MATCH($H1158,Buffers!$AE:$AE,0))="Planned",$E1158&gt;0,INT($B1158)&lt;=PlanDate+ROUNDUP(IF(ISNUMBER(SpikeHorizon),SpikeHorizon,INDEX(Buffers!$D:$D,MATCH($H1158,Buffers!$AE:$AE,0))),0),$E1158&gt;=SpikePct*INDEX(Buffers!$P:$P,MATCH($H1158,Buffers!$AE:$AE,0))),"Spike","Not qualified"))))))</f>
        <v/>
      </c>
      <c r="G1158" s="8" t="str">
        <f aca="false">IF($A1158="","",IF(OR($F1158="Past due",$F1158="Due today",$F1158="Spike"),$C1158,0))</f>
        <v/>
      </c>
      <c r="H1158" s="8" t="str">
        <f aca="false">IF($A1158="","",SUBSTITUTE(SUBSTITUTE(SUBSTITUTE($A1158&amp;"","~","~~"),"*","~*"),"?","~?"))</f>
        <v/>
      </c>
    </row>
    <row r="1159" customFormat="false" ht="15" hidden="false" customHeight="false" outlineLevel="0" collapsed="false">
      <c r="A1159" s="11"/>
      <c r="B1159" s="6"/>
      <c r="C1159" s="11"/>
      <c r="D1159" s="11"/>
      <c r="E1159" s="8" t="str">
        <f aca="false">IF($A1159="","",SUMIFS($C:$C,$A:$A,$H1159,$B:$B,"&gt;="&amp;INT($B1159),$B:$B,"&lt;"&amp;(INT($B1159)+1)))</f>
        <v/>
      </c>
      <c r="F1159" s="19" t="str">
        <f aca="false">IF($A1159="","",IF(ISNA(MATCH($H1159,Buffers!$AE:$AE,0)),"Not on Buffers",IF(NOT(ISNUMBER($B1159)),"Needs a date",IF(INT($B1159)&lt;PlanDate,"Past due",IF(INT($B1159)=PlanDate,"Due today",IF(AND(INDEX(Buffers!$L:$L,MATCH($H1159,Buffers!$AE:$AE,0))="Planned",$E1159&gt;0,INT($B1159)&lt;=PlanDate+ROUNDUP(IF(ISNUMBER(SpikeHorizon),SpikeHorizon,INDEX(Buffers!$D:$D,MATCH($H1159,Buffers!$AE:$AE,0))),0),$E1159&gt;=SpikePct*INDEX(Buffers!$P:$P,MATCH($H1159,Buffers!$AE:$AE,0))),"Spike","Not qualified"))))))</f>
        <v/>
      </c>
      <c r="G1159" s="8" t="str">
        <f aca="false">IF($A1159="","",IF(OR($F1159="Past due",$F1159="Due today",$F1159="Spike"),$C1159,0))</f>
        <v/>
      </c>
      <c r="H1159" s="8" t="str">
        <f aca="false">IF($A1159="","",SUBSTITUTE(SUBSTITUTE(SUBSTITUTE($A1159&amp;"","~","~~"),"*","~*"),"?","~?"))</f>
        <v/>
      </c>
    </row>
    <row r="1160" customFormat="false" ht="15" hidden="false" customHeight="false" outlineLevel="0" collapsed="false">
      <c r="A1160" s="11"/>
      <c r="B1160" s="6"/>
      <c r="C1160" s="11"/>
      <c r="D1160" s="11"/>
      <c r="E1160" s="8" t="str">
        <f aca="false">IF($A1160="","",SUMIFS($C:$C,$A:$A,$H1160,$B:$B,"&gt;="&amp;INT($B1160),$B:$B,"&lt;"&amp;(INT($B1160)+1)))</f>
        <v/>
      </c>
      <c r="F1160" s="19" t="str">
        <f aca="false">IF($A1160="","",IF(ISNA(MATCH($H1160,Buffers!$AE:$AE,0)),"Not on Buffers",IF(NOT(ISNUMBER($B1160)),"Needs a date",IF(INT($B1160)&lt;PlanDate,"Past due",IF(INT($B1160)=PlanDate,"Due today",IF(AND(INDEX(Buffers!$L:$L,MATCH($H1160,Buffers!$AE:$AE,0))="Planned",$E1160&gt;0,INT($B1160)&lt;=PlanDate+ROUNDUP(IF(ISNUMBER(SpikeHorizon),SpikeHorizon,INDEX(Buffers!$D:$D,MATCH($H1160,Buffers!$AE:$AE,0))),0),$E1160&gt;=SpikePct*INDEX(Buffers!$P:$P,MATCH($H1160,Buffers!$AE:$AE,0))),"Spike","Not qualified"))))))</f>
        <v/>
      </c>
      <c r="G1160" s="8" t="str">
        <f aca="false">IF($A1160="","",IF(OR($F1160="Past due",$F1160="Due today",$F1160="Spike"),$C1160,0))</f>
        <v/>
      </c>
      <c r="H1160" s="8" t="str">
        <f aca="false">IF($A1160="","",SUBSTITUTE(SUBSTITUTE(SUBSTITUTE($A1160&amp;"","~","~~"),"*","~*"),"?","~?"))</f>
        <v/>
      </c>
    </row>
    <row r="1161" customFormat="false" ht="15" hidden="false" customHeight="false" outlineLevel="0" collapsed="false">
      <c r="A1161" s="11"/>
      <c r="B1161" s="6"/>
      <c r="C1161" s="11"/>
      <c r="D1161" s="11"/>
      <c r="E1161" s="8" t="str">
        <f aca="false">IF($A1161="","",SUMIFS($C:$C,$A:$A,$H1161,$B:$B,"&gt;="&amp;INT($B1161),$B:$B,"&lt;"&amp;(INT($B1161)+1)))</f>
        <v/>
      </c>
      <c r="F1161" s="19" t="str">
        <f aca="false">IF($A1161="","",IF(ISNA(MATCH($H1161,Buffers!$AE:$AE,0)),"Not on Buffers",IF(NOT(ISNUMBER($B1161)),"Needs a date",IF(INT($B1161)&lt;PlanDate,"Past due",IF(INT($B1161)=PlanDate,"Due today",IF(AND(INDEX(Buffers!$L:$L,MATCH($H1161,Buffers!$AE:$AE,0))="Planned",$E1161&gt;0,INT($B1161)&lt;=PlanDate+ROUNDUP(IF(ISNUMBER(SpikeHorizon),SpikeHorizon,INDEX(Buffers!$D:$D,MATCH($H1161,Buffers!$AE:$AE,0))),0),$E1161&gt;=SpikePct*INDEX(Buffers!$P:$P,MATCH($H1161,Buffers!$AE:$AE,0))),"Spike","Not qualified"))))))</f>
        <v/>
      </c>
      <c r="G1161" s="8" t="str">
        <f aca="false">IF($A1161="","",IF(OR($F1161="Past due",$F1161="Due today",$F1161="Spike"),$C1161,0))</f>
        <v/>
      </c>
      <c r="H1161" s="8" t="str">
        <f aca="false">IF($A1161="","",SUBSTITUTE(SUBSTITUTE(SUBSTITUTE($A1161&amp;"","~","~~"),"*","~*"),"?","~?"))</f>
        <v/>
      </c>
    </row>
    <row r="1162" customFormat="false" ht="15" hidden="false" customHeight="false" outlineLevel="0" collapsed="false">
      <c r="A1162" s="11"/>
      <c r="B1162" s="6"/>
      <c r="C1162" s="11"/>
      <c r="D1162" s="11"/>
      <c r="E1162" s="8" t="str">
        <f aca="false">IF($A1162="","",SUMIFS($C:$C,$A:$A,$H1162,$B:$B,"&gt;="&amp;INT($B1162),$B:$B,"&lt;"&amp;(INT($B1162)+1)))</f>
        <v/>
      </c>
      <c r="F1162" s="19" t="str">
        <f aca="false">IF($A1162="","",IF(ISNA(MATCH($H1162,Buffers!$AE:$AE,0)),"Not on Buffers",IF(NOT(ISNUMBER($B1162)),"Needs a date",IF(INT($B1162)&lt;PlanDate,"Past due",IF(INT($B1162)=PlanDate,"Due today",IF(AND(INDEX(Buffers!$L:$L,MATCH($H1162,Buffers!$AE:$AE,0))="Planned",$E1162&gt;0,INT($B1162)&lt;=PlanDate+ROUNDUP(IF(ISNUMBER(SpikeHorizon),SpikeHorizon,INDEX(Buffers!$D:$D,MATCH($H1162,Buffers!$AE:$AE,0))),0),$E1162&gt;=SpikePct*INDEX(Buffers!$P:$P,MATCH($H1162,Buffers!$AE:$AE,0))),"Spike","Not qualified"))))))</f>
        <v/>
      </c>
      <c r="G1162" s="8" t="str">
        <f aca="false">IF($A1162="","",IF(OR($F1162="Past due",$F1162="Due today",$F1162="Spike"),$C1162,0))</f>
        <v/>
      </c>
      <c r="H1162" s="8" t="str">
        <f aca="false">IF($A1162="","",SUBSTITUTE(SUBSTITUTE(SUBSTITUTE($A1162&amp;"","~","~~"),"*","~*"),"?","~?"))</f>
        <v/>
      </c>
    </row>
    <row r="1163" customFormat="false" ht="15" hidden="false" customHeight="false" outlineLevel="0" collapsed="false">
      <c r="A1163" s="11"/>
      <c r="B1163" s="6"/>
      <c r="C1163" s="11"/>
      <c r="D1163" s="11"/>
      <c r="E1163" s="8" t="str">
        <f aca="false">IF($A1163="","",SUMIFS($C:$C,$A:$A,$H1163,$B:$B,"&gt;="&amp;INT($B1163),$B:$B,"&lt;"&amp;(INT($B1163)+1)))</f>
        <v/>
      </c>
      <c r="F1163" s="19" t="str">
        <f aca="false">IF($A1163="","",IF(ISNA(MATCH($H1163,Buffers!$AE:$AE,0)),"Not on Buffers",IF(NOT(ISNUMBER($B1163)),"Needs a date",IF(INT($B1163)&lt;PlanDate,"Past due",IF(INT($B1163)=PlanDate,"Due today",IF(AND(INDEX(Buffers!$L:$L,MATCH($H1163,Buffers!$AE:$AE,0))="Planned",$E1163&gt;0,INT($B1163)&lt;=PlanDate+ROUNDUP(IF(ISNUMBER(SpikeHorizon),SpikeHorizon,INDEX(Buffers!$D:$D,MATCH($H1163,Buffers!$AE:$AE,0))),0),$E1163&gt;=SpikePct*INDEX(Buffers!$P:$P,MATCH($H1163,Buffers!$AE:$AE,0))),"Spike","Not qualified"))))))</f>
        <v/>
      </c>
      <c r="G1163" s="8" t="str">
        <f aca="false">IF($A1163="","",IF(OR($F1163="Past due",$F1163="Due today",$F1163="Spike"),$C1163,0))</f>
        <v/>
      </c>
      <c r="H1163" s="8" t="str">
        <f aca="false">IF($A1163="","",SUBSTITUTE(SUBSTITUTE(SUBSTITUTE($A1163&amp;"","~","~~"),"*","~*"),"?","~?"))</f>
        <v/>
      </c>
    </row>
    <row r="1164" customFormat="false" ht="15" hidden="false" customHeight="false" outlineLevel="0" collapsed="false">
      <c r="A1164" s="11"/>
      <c r="B1164" s="6"/>
      <c r="C1164" s="11"/>
      <c r="D1164" s="11"/>
      <c r="E1164" s="8" t="str">
        <f aca="false">IF($A1164="","",SUMIFS($C:$C,$A:$A,$H1164,$B:$B,"&gt;="&amp;INT($B1164),$B:$B,"&lt;"&amp;(INT($B1164)+1)))</f>
        <v/>
      </c>
      <c r="F1164" s="19" t="str">
        <f aca="false">IF($A1164="","",IF(ISNA(MATCH($H1164,Buffers!$AE:$AE,0)),"Not on Buffers",IF(NOT(ISNUMBER($B1164)),"Needs a date",IF(INT($B1164)&lt;PlanDate,"Past due",IF(INT($B1164)=PlanDate,"Due today",IF(AND(INDEX(Buffers!$L:$L,MATCH($H1164,Buffers!$AE:$AE,0))="Planned",$E1164&gt;0,INT($B1164)&lt;=PlanDate+ROUNDUP(IF(ISNUMBER(SpikeHorizon),SpikeHorizon,INDEX(Buffers!$D:$D,MATCH($H1164,Buffers!$AE:$AE,0))),0),$E1164&gt;=SpikePct*INDEX(Buffers!$P:$P,MATCH($H1164,Buffers!$AE:$AE,0))),"Spike","Not qualified"))))))</f>
        <v/>
      </c>
      <c r="G1164" s="8" t="str">
        <f aca="false">IF($A1164="","",IF(OR($F1164="Past due",$F1164="Due today",$F1164="Spike"),$C1164,0))</f>
        <v/>
      </c>
      <c r="H1164" s="8" t="str">
        <f aca="false">IF($A1164="","",SUBSTITUTE(SUBSTITUTE(SUBSTITUTE($A1164&amp;"","~","~~"),"*","~*"),"?","~?"))</f>
        <v/>
      </c>
    </row>
    <row r="1165" customFormat="false" ht="15" hidden="false" customHeight="false" outlineLevel="0" collapsed="false">
      <c r="A1165" s="11"/>
      <c r="B1165" s="6"/>
      <c r="C1165" s="11"/>
      <c r="D1165" s="11"/>
      <c r="E1165" s="8" t="str">
        <f aca="false">IF($A1165="","",SUMIFS($C:$C,$A:$A,$H1165,$B:$B,"&gt;="&amp;INT($B1165),$B:$B,"&lt;"&amp;(INT($B1165)+1)))</f>
        <v/>
      </c>
      <c r="F1165" s="19" t="str">
        <f aca="false">IF($A1165="","",IF(ISNA(MATCH($H1165,Buffers!$AE:$AE,0)),"Not on Buffers",IF(NOT(ISNUMBER($B1165)),"Needs a date",IF(INT($B1165)&lt;PlanDate,"Past due",IF(INT($B1165)=PlanDate,"Due today",IF(AND(INDEX(Buffers!$L:$L,MATCH($H1165,Buffers!$AE:$AE,0))="Planned",$E1165&gt;0,INT($B1165)&lt;=PlanDate+ROUNDUP(IF(ISNUMBER(SpikeHorizon),SpikeHorizon,INDEX(Buffers!$D:$D,MATCH($H1165,Buffers!$AE:$AE,0))),0),$E1165&gt;=SpikePct*INDEX(Buffers!$P:$P,MATCH($H1165,Buffers!$AE:$AE,0))),"Spike","Not qualified"))))))</f>
        <v/>
      </c>
      <c r="G1165" s="8" t="str">
        <f aca="false">IF($A1165="","",IF(OR($F1165="Past due",$F1165="Due today",$F1165="Spike"),$C1165,0))</f>
        <v/>
      </c>
      <c r="H1165" s="8" t="str">
        <f aca="false">IF($A1165="","",SUBSTITUTE(SUBSTITUTE(SUBSTITUTE($A1165&amp;"","~","~~"),"*","~*"),"?","~?"))</f>
        <v/>
      </c>
    </row>
    <row r="1166" customFormat="false" ht="15" hidden="false" customHeight="false" outlineLevel="0" collapsed="false">
      <c r="A1166" s="11"/>
      <c r="B1166" s="6"/>
      <c r="C1166" s="11"/>
      <c r="D1166" s="11"/>
      <c r="E1166" s="8" t="str">
        <f aca="false">IF($A1166="","",SUMIFS($C:$C,$A:$A,$H1166,$B:$B,"&gt;="&amp;INT($B1166),$B:$B,"&lt;"&amp;(INT($B1166)+1)))</f>
        <v/>
      </c>
      <c r="F1166" s="19" t="str">
        <f aca="false">IF($A1166="","",IF(ISNA(MATCH($H1166,Buffers!$AE:$AE,0)),"Not on Buffers",IF(NOT(ISNUMBER($B1166)),"Needs a date",IF(INT($B1166)&lt;PlanDate,"Past due",IF(INT($B1166)=PlanDate,"Due today",IF(AND(INDEX(Buffers!$L:$L,MATCH($H1166,Buffers!$AE:$AE,0))="Planned",$E1166&gt;0,INT($B1166)&lt;=PlanDate+ROUNDUP(IF(ISNUMBER(SpikeHorizon),SpikeHorizon,INDEX(Buffers!$D:$D,MATCH($H1166,Buffers!$AE:$AE,0))),0),$E1166&gt;=SpikePct*INDEX(Buffers!$P:$P,MATCH($H1166,Buffers!$AE:$AE,0))),"Spike","Not qualified"))))))</f>
        <v/>
      </c>
      <c r="G1166" s="8" t="str">
        <f aca="false">IF($A1166="","",IF(OR($F1166="Past due",$F1166="Due today",$F1166="Spike"),$C1166,0))</f>
        <v/>
      </c>
      <c r="H1166" s="8" t="str">
        <f aca="false">IF($A1166="","",SUBSTITUTE(SUBSTITUTE(SUBSTITUTE($A1166&amp;"","~","~~"),"*","~*"),"?","~?"))</f>
        <v/>
      </c>
    </row>
    <row r="1167" customFormat="false" ht="15" hidden="false" customHeight="false" outlineLevel="0" collapsed="false">
      <c r="A1167" s="11"/>
      <c r="B1167" s="6"/>
      <c r="C1167" s="11"/>
      <c r="D1167" s="11"/>
      <c r="E1167" s="8" t="str">
        <f aca="false">IF($A1167="","",SUMIFS($C:$C,$A:$A,$H1167,$B:$B,"&gt;="&amp;INT($B1167),$B:$B,"&lt;"&amp;(INT($B1167)+1)))</f>
        <v/>
      </c>
      <c r="F1167" s="19" t="str">
        <f aca="false">IF($A1167="","",IF(ISNA(MATCH($H1167,Buffers!$AE:$AE,0)),"Not on Buffers",IF(NOT(ISNUMBER($B1167)),"Needs a date",IF(INT($B1167)&lt;PlanDate,"Past due",IF(INT($B1167)=PlanDate,"Due today",IF(AND(INDEX(Buffers!$L:$L,MATCH($H1167,Buffers!$AE:$AE,0))="Planned",$E1167&gt;0,INT($B1167)&lt;=PlanDate+ROUNDUP(IF(ISNUMBER(SpikeHorizon),SpikeHorizon,INDEX(Buffers!$D:$D,MATCH($H1167,Buffers!$AE:$AE,0))),0),$E1167&gt;=SpikePct*INDEX(Buffers!$P:$P,MATCH($H1167,Buffers!$AE:$AE,0))),"Spike","Not qualified"))))))</f>
        <v/>
      </c>
      <c r="G1167" s="8" t="str">
        <f aca="false">IF($A1167="","",IF(OR($F1167="Past due",$F1167="Due today",$F1167="Spike"),$C1167,0))</f>
        <v/>
      </c>
      <c r="H1167" s="8" t="str">
        <f aca="false">IF($A1167="","",SUBSTITUTE(SUBSTITUTE(SUBSTITUTE($A1167&amp;"","~","~~"),"*","~*"),"?","~?"))</f>
        <v/>
      </c>
    </row>
    <row r="1168" customFormat="false" ht="15" hidden="false" customHeight="false" outlineLevel="0" collapsed="false">
      <c r="A1168" s="11"/>
      <c r="B1168" s="6"/>
      <c r="C1168" s="11"/>
      <c r="D1168" s="11"/>
      <c r="E1168" s="8" t="str">
        <f aca="false">IF($A1168="","",SUMIFS($C:$C,$A:$A,$H1168,$B:$B,"&gt;="&amp;INT($B1168),$B:$B,"&lt;"&amp;(INT($B1168)+1)))</f>
        <v/>
      </c>
      <c r="F1168" s="19" t="str">
        <f aca="false">IF($A1168="","",IF(ISNA(MATCH($H1168,Buffers!$AE:$AE,0)),"Not on Buffers",IF(NOT(ISNUMBER($B1168)),"Needs a date",IF(INT($B1168)&lt;PlanDate,"Past due",IF(INT($B1168)=PlanDate,"Due today",IF(AND(INDEX(Buffers!$L:$L,MATCH($H1168,Buffers!$AE:$AE,0))="Planned",$E1168&gt;0,INT($B1168)&lt;=PlanDate+ROUNDUP(IF(ISNUMBER(SpikeHorizon),SpikeHorizon,INDEX(Buffers!$D:$D,MATCH($H1168,Buffers!$AE:$AE,0))),0),$E1168&gt;=SpikePct*INDEX(Buffers!$P:$P,MATCH($H1168,Buffers!$AE:$AE,0))),"Spike","Not qualified"))))))</f>
        <v/>
      </c>
      <c r="G1168" s="8" t="str">
        <f aca="false">IF($A1168="","",IF(OR($F1168="Past due",$F1168="Due today",$F1168="Spike"),$C1168,0))</f>
        <v/>
      </c>
      <c r="H1168" s="8" t="str">
        <f aca="false">IF($A1168="","",SUBSTITUTE(SUBSTITUTE(SUBSTITUTE($A1168&amp;"","~","~~"),"*","~*"),"?","~?"))</f>
        <v/>
      </c>
    </row>
    <row r="1169" customFormat="false" ht="15" hidden="false" customHeight="false" outlineLevel="0" collapsed="false">
      <c r="A1169" s="11"/>
      <c r="B1169" s="6"/>
      <c r="C1169" s="11"/>
      <c r="D1169" s="11"/>
      <c r="E1169" s="8" t="str">
        <f aca="false">IF($A1169="","",SUMIFS($C:$C,$A:$A,$H1169,$B:$B,"&gt;="&amp;INT($B1169),$B:$B,"&lt;"&amp;(INT($B1169)+1)))</f>
        <v/>
      </c>
      <c r="F1169" s="19" t="str">
        <f aca="false">IF($A1169="","",IF(ISNA(MATCH($H1169,Buffers!$AE:$AE,0)),"Not on Buffers",IF(NOT(ISNUMBER($B1169)),"Needs a date",IF(INT($B1169)&lt;PlanDate,"Past due",IF(INT($B1169)=PlanDate,"Due today",IF(AND(INDEX(Buffers!$L:$L,MATCH($H1169,Buffers!$AE:$AE,0))="Planned",$E1169&gt;0,INT($B1169)&lt;=PlanDate+ROUNDUP(IF(ISNUMBER(SpikeHorizon),SpikeHorizon,INDEX(Buffers!$D:$D,MATCH($H1169,Buffers!$AE:$AE,0))),0),$E1169&gt;=SpikePct*INDEX(Buffers!$P:$P,MATCH($H1169,Buffers!$AE:$AE,0))),"Spike","Not qualified"))))))</f>
        <v/>
      </c>
      <c r="G1169" s="8" t="str">
        <f aca="false">IF($A1169="","",IF(OR($F1169="Past due",$F1169="Due today",$F1169="Spike"),$C1169,0))</f>
        <v/>
      </c>
      <c r="H1169" s="8" t="str">
        <f aca="false">IF($A1169="","",SUBSTITUTE(SUBSTITUTE(SUBSTITUTE($A1169&amp;"","~","~~"),"*","~*"),"?","~?"))</f>
        <v/>
      </c>
    </row>
    <row r="1170" customFormat="false" ht="15" hidden="false" customHeight="false" outlineLevel="0" collapsed="false">
      <c r="A1170" s="11"/>
      <c r="B1170" s="6"/>
      <c r="C1170" s="11"/>
      <c r="D1170" s="11"/>
      <c r="E1170" s="8" t="str">
        <f aca="false">IF($A1170="","",SUMIFS($C:$C,$A:$A,$H1170,$B:$B,"&gt;="&amp;INT($B1170),$B:$B,"&lt;"&amp;(INT($B1170)+1)))</f>
        <v/>
      </c>
      <c r="F1170" s="19" t="str">
        <f aca="false">IF($A1170="","",IF(ISNA(MATCH($H1170,Buffers!$AE:$AE,0)),"Not on Buffers",IF(NOT(ISNUMBER($B1170)),"Needs a date",IF(INT($B1170)&lt;PlanDate,"Past due",IF(INT($B1170)=PlanDate,"Due today",IF(AND(INDEX(Buffers!$L:$L,MATCH($H1170,Buffers!$AE:$AE,0))="Planned",$E1170&gt;0,INT($B1170)&lt;=PlanDate+ROUNDUP(IF(ISNUMBER(SpikeHorizon),SpikeHorizon,INDEX(Buffers!$D:$D,MATCH($H1170,Buffers!$AE:$AE,0))),0),$E1170&gt;=SpikePct*INDEX(Buffers!$P:$P,MATCH($H1170,Buffers!$AE:$AE,0))),"Spike","Not qualified"))))))</f>
        <v/>
      </c>
      <c r="G1170" s="8" t="str">
        <f aca="false">IF($A1170="","",IF(OR($F1170="Past due",$F1170="Due today",$F1170="Spike"),$C1170,0))</f>
        <v/>
      </c>
      <c r="H1170" s="8" t="str">
        <f aca="false">IF($A1170="","",SUBSTITUTE(SUBSTITUTE(SUBSTITUTE($A1170&amp;"","~","~~"),"*","~*"),"?","~?"))</f>
        <v/>
      </c>
    </row>
    <row r="1171" customFormat="false" ht="15" hidden="false" customHeight="false" outlineLevel="0" collapsed="false">
      <c r="A1171" s="11"/>
      <c r="B1171" s="6"/>
      <c r="C1171" s="11"/>
      <c r="D1171" s="11"/>
      <c r="E1171" s="8" t="str">
        <f aca="false">IF($A1171="","",SUMIFS($C:$C,$A:$A,$H1171,$B:$B,"&gt;="&amp;INT($B1171),$B:$B,"&lt;"&amp;(INT($B1171)+1)))</f>
        <v/>
      </c>
      <c r="F1171" s="19" t="str">
        <f aca="false">IF($A1171="","",IF(ISNA(MATCH($H1171,Buffers!$AE:$AE,0)),"Not on Buffers",IF(NOT(ISNUMBER($B1171)),"Needs a date",IF(INT($B1171)&lt;PlanDate,"Past due",IF(INT($B1171)=PlanDate,"Due today",IF(AND(INDEX(Buffers!$L:$L,MATCH($H1171,Buffers!$AE:$AE,0))="Planned",$E1171&gt;0,INT($B1171)&lt;=PlanDate+ROUNDUP(IF(ISNUMBER(SpikeHorizon),SpikeHorizon,INDEX(Buffers!$D:$D,MATCH($H1171,Buffers!$AE:$AE,0))),0),$E1171&gt;=SpikePct*INDEX(Buffers!$P:$P,MATCH($H1171,Buffers!$AE:$AE,0))),"Spike","Not qualified"))))))</f>
        <v/>
      </c>
      <c r="G1171" s="8" t="str">
        <f aca="false">IF($A1171="","",IF(OR($F1171="Past due",$F1171="Due today",$F1171="Spike"),$C1171,0))</f>
        <v/>
      </c>
      <c r="H1171" s="8" t="str">
        <f aca="false">IF($A1171="","",SUBSTITUTE(SUBSTITUTE(SUBSTITUTE($A1171&amp;"","~","~~"),"*","~*"),"?","~?"))</f>
        <v/>
      </c>
    </row>
    <row r="1172" customFormat="false" ht="15" hidden="false" customHeight="false" outlineLevel="0" collapsed="false">
      <c r="A1172" s="11"/>
      <c r="B1172" s="6"/>
      <c r="C1172" s="11"/>
      <c r="D1172" s="11"/>
      <c r="E1172" s="8" t="str">
        <f aca="false">IF($A1172="","",SUMIFS($C:$C,$A:$A,$H1172,$B:$B,"&gt;="&amp;INT($B1172),$B:$B,"&lt;"&amp;(INT($B1172)+1)))</f>
        <v/>
      </c>
      <c r="F1172" s="19" t="str">
        <f aca="false">IF($A1172="","",IF(ISNA(MATCH($H1172,Buffers!$AE:$AE,0)),"Not on Buffers",IF(NOT(ISNUMBER($B1172)),"Needs a date",IF(INT($B1172)&lt;PlanDate,"Past due",IF(INT($B1172)=PlanDate,"Due today",IF(AND(INDEX(Buffers!$L:$L,MATCH($H1172,Buffers!$AE:$AE,0))="Planned",$E1172&gt;0,INT($B1172)&lt;=PlanDate+ROUNDUP(IF(ISNUMBER(SpikeHorizon),SpikeHorizon,INDEX(Buffers!$D:$D,MATCH($H1172,Buffers!$AE:$AE,0))),0),$E1172&gt;=SpikePct*INDEX(Buffers!$P:$P,MATCH($H1172,Buffers!$AE:$AE,0))),"Spike","Not qualified"))))))</f>
        <v/>
      </c>
      <c r="G1172" s="8" t="str">
        <f aca="false">IF($A1172="","",IF(OR($F1172="Past due",$F1172="Due today",$F1172="Spike"),$C1172,0))</f>
        <v/>
      </c>
      <c r="H1172" s="8" t="str">
        <f aca="false">IF($A1172="","",SUBSTITUTE(SUBSTITUTE(SUBSTITUTE($A1172&amp;"","~","~~"),"*","~*"),"?","~?"))</f>
        <v/>
      </c>
    </row>
    <row r="1173" customFormat="false" ht="15" hidden="false" customHeight="false" outlineLevel="0" collapsed="false">
      <c r="A1173" s="11"/>
      <c r="B1173" s="6"/>
      <c r="C1173" s="11"/>
      <c r="D1173" s="11"/>
      <c r="E1173" s="8" t="str">
        <f aca="false">IF($A1173="","",SUMIFS($C:$C,$A:$A,$H1173,$B:$B,"&gt;="&amp;INT($B1173),$B:$B,"&lt;"&amp;(INT($B1173)+1)))</f>
        <v/>
      </c>
      <c r="F1173" s="19" t="str">
        <f aca="false">IF($A1173="","",IF(ISNA(MATCH($H1173,Buffers!$AE:$AE,0)),"Not on Buffers",IF(NOT(ISNUMBER($B1173)),"Needs a date",IF(INT($B1173)&lt;PlanDate,"Past due",IF(INT($B1173)=PlanDate,"Due today",IF(AND(INDEX(Buffers!$L:$L,MATCH($H1173,Buffers!$AE:$AE,0))="Planned",$E1173&gt;0,INT($B1173)&lt;=PlanDate+ROUNDUP(IF(ISNUMBER(SpikeHorizon),SpikeHorizon,INDEX(Buffers!$D:$D,MATCH($H1173,Buffers!$AE:$AE,0))),0),$E1173&gt;=SpikePct*INDEX(Buffers!$P:$P,MATCH($H1173,Buffers!$AE:$AE,0))),"Spike","Not qualified"))))))</f>
        <v/>
      </c>
      <c r="G1173" s="8" t="str">
        <f aca="false">IF($A1173="","",IF(OR($F1173="Past due",$F1173="Due today",$F1173="Spike"),$C1173,0))</f>
        <v/>
      </c>
      <c r="H1173" s="8" t="str">
        <f aca="false">IF($A1173="","",SUBSTITUTE(SUBSTITUTE(SUBSTITUTE($A1173&amp;"","~","~~"),"*","~*"),"?","~?"))</f>
        <v/>
      </c>
    </row>
    <row r="1174" customFormat="false" ht="15" hidden="false" customHeight="false" outlineLevel="0" collapsed="false">
      <c r="A1174" s="11"/>
      <c r="B1174" s="6"/>
      <c r="C1174" s="11"/>
      <c r="D1174" s="11"/>
      <c r="E1174" s="8" t="str">
        <f aca="false">IF($A1174="","",SUMIFS($C:$C,$A:$A,$H1174,$B:$B,"&gt;="&amp;INT($B1174),$B:$B,"&lt;"&amp;(INT($B1174)+1)))</f>
        <v/>
      </c>
      <c r="F1174" s="19" t="str">
        <f aca="false">IF($A1174="","",IF(ISNA(MATCH($H1174,Buffers!$AE:$AE,0)),"Not on Buffers",IF(NOT(ISNUMBER($B1174)),"Needs a date",IF(INT($B1174)&lt;PlanDate,"Past due",IF(INT($B1174)=PlanDate,"Due today",IF(AND(INDEX(Buffers!$L:$L,MATCH($H1174,Buffers!$AE:$AE,0))="Planned",$E1174&gt;0,INT($B1174)&lt;=PlanDate+ROUNDUP(IF(ISNUMBER(SpikeHorizon),SpikeHorizon,INDEX(Buffers!$D:$D,MATCH($H1174,Buffers!$AE:$AE,0))),0),$E1174&gt;=SpikePct*INDEX(Buffers!$P:$P,MATCH($H1174,Buffers!$AE:$AE,0))),"Spike","Not qualified"))))))</f>
        <v/>
      </c>
      <c r="G1174" s="8" t="str">
        <f aca="false">IF($A1174="","",IF(OR($F1174="Past due",$F1174="Due today",$F1174="Spike"),$C1174,0))</f>
        <v/>
      </c>
      <c r="H1174" s="8" t="str">
        <f aca="false">IF($A1174="","",SUBSTITUTE(SUBSTITUTE(SUBSTITUTE($A1174&amp;"","~","~~"),"*","~*"),"?","~?"))</f>
        <v/>
      </c>
    </row>
    <row r="1175" customFormat="false" ht="15" hidden="false" customHeight="false" outlineLevel="0" collapsed="false">
      <c r="A1175" s="11"/>
      <c r="B1175" s="6"/>
      <c r="C1175" s="11"/>
      <c r="D1175" s="11"/>
      <c r="E1175" s="8" t="str">
        <f aca="false">IF($A1175="","",SUMIFS($C:$C,$A:$A,$H1175,$B:$B,"&gt;="&amp;INT($B1175),$B:$B,"&lt;"&amp;(INT($B1175)+1)))</f>
        <v/>
      </c>
      <c r="F1175" s="19" t="str">
        <f aca="false">IF($A1175="","",IF(ISNA(MATCH($H1175,Buffers!$AE:$AE,0)),"Not on Buffers",IF(NOT(ISNUMBER($B1175)),"Needs a date",IF(INT($B1175)&lt;PlanDate,"Past due",IF(INT($B1175)=PlanDate,"Due today",IF(AND(INDEX(Buffers!$L:$L,MATCH($H1175,Buffers!$AE:$AE,0))="Planned",$E1175&gt;0,INT($B1175)&lt;=PlanDate+ROUNDUP(IF(ISNUMBER(SpikeHorizon),SpikeHorizon,INDEX(Buffers!$D:$D,MATCH($H1175,Buffers!$AE:$AE,0))),0),$E1175&gt;=SpikePct*INDEX(Buffers!$P:$P,MATCH($H1175,Buffers!$AE:$AE,0))),"Spike","Not qualified"))))))</f>
        <v/>
      </c>
      <c r="G1175" s="8" t="str">
        <f aca="false">IF($A1175="","",IF(OR($F1175="Past due",$F1175="Due today",$F1175="Spike"),$C1175,0))</f>
        <v/>
      </c>
      <c r="H1175" s="8" t="str">
        <f aca="false">IF($A1175="","",SUBSTITUTE(SUBSTITUTE(SUBSTITUTE($A1175&amp;"","~","~~"),"*","~*"),"?","~?"))</f>
        <v/>
      </c>
    </row>
    <row r="1176" customFormat="false" ht="15" hidden="false" customHeight="false" outlineLevel="0" collapsed="false">
      <c r="A1176" s="11"/>
      <c r="B1176" s="6"/>
      <c r="C1176" s="11"/>
      <c r="D1176" s="11"/>
      <c r="E1176" s="8" t="str">
        <f aca="false">IF($A1176="","",SUMIFS($C:$C,$A:$A,$H1176,$B:$B,"&gt;="&amp;INT($B1176),$B:$B,"&lt;"&amp;(INT($B1176)+1)))</f>
        <v/>
      </c>
      <c r="F1176" s="19" t="str">
        <f aca="false">IF($A1176="","",IF(ISNA(MATCH($H1176,Buffers!$AE:$AE,0)),"Not on Buffers",IF(NOT(ISNUMBER($B1176)),"Needs a date",IF(INT($B1176)&lt;PlanDate,"Past due",IF(INT($B1176)=PlanDate,"Due today",IF(AND(INDEX(Buffers!$L:$L,MATCH($H1176,Buffers!$AE:$AE,0))="Planned",$E1176&gt;0,INT($B1176)&lt;=PlanDate+ROUNDUP(IF(ISNUMBER(SpikeHorizon),SpikeHorizon,INDEX(Buffers!$D:$D,MATCH($H1176,Buffers!$AE:$AE,0))),0),$E1176&gt;=SpikePct*INDEX(Buffers!$P:$P,MATCH($H1176,Buffers!$AE:$AE,0))),"Spike","Not qualified"))))))</f>
        <v/>
      </c>
      <c r="G1176" s="8" t="str">
        <f aca="false">IF($A1176="","",IF(OR($F1176="Past due",$F1176="Due today",$F1176="Spike"),$C1176,0))</f>
        <v/>
      </c>
      <c r="H1176" s="8" t="str">
        <f aca="false">IF($A1176="","",SUBSTITUTE(SUBSTITUTE(SUBSTITUTE($A1176&amp;"","~","~~"),"*","~*"),"?","~?"))</f>
        <v/>
      </c>
    </row>
    <row r="1177" customFormat="false" ht="15" hidden="false" customHeight="false" outlineLevel="0" collapsed="false">
      <c r="A1177" s="11"/>
      <c r="B1177" s="6"/>
      <c r="C1177" s="11"/>
      <c r="D1177" s="11"/>
      <c r="E1177" s="8" t="str">
        <f aca="false">IF($A1177="","",SUMIFS($C:$C,$A:$A,$H1177,$B:$B,"&gt;="&amp;INT($B1177),$B:$B,"&lt;"&amp;(INT($B1177)+1)))</f>
        <v/>
      </c>
      <c r="F1177" s="19" t="str">
        <f aca="false">IF($A1177="","",IF(ISNA(MATCH($H1177,Buffers!$AE:$AE,0)),"Not on Buffers",IF(NOT(ISNUMBER($B1177)),"Needs a date",IF(INT($B1177)&lt;PlanDate,"Past due",IF(INT($B1177)=PlanDate,"Due today",IF(AND(INDEX(Buffers!$L:$L,MATCH($H1177,Buffers!$AE:$AE,0))="Planned",$E1177&gt;0,INT($B1177)&lt;=PlanDate+ROUNDUP(IF(ISNUMBER(SpikeHorizon),SpikeHorizon,INDEX(Buffers!$D:$D,MATCH($H1177,Buffers!$AE:$AE,0))),0),$E1177&gt;=SpikePct*INDEX(Buffers!$P:$P,MATCH($H1177,Buffers!$AE:$AE,0))),"Spike","Not qualified"))))))</f>
        <v/>
      </c>
      <c r="G1177" s="8" t="str">
        <f aca="false">IF($A1177="","",IF(OR($F1177="Past due",$F1177="Due today",$F1177="Spike"),$C1177,0))</f>
        <v/>
      </c>
      <c r="H1177" s="8" t="str">
        <f aca="false">IF($A1177="","",SUBSTITUTE(SUBSTITUTE(SUBSTITUTE($A1177&amp;"","~","~~"),"*","~*"),"?","~?"))</f>
        <v/>
      </c>
    </row>
    <row r="1178" customFormat="false" ht="15" hidden="false" customHeight="false" outlineLevel="0" collapsed="false">
      <c r="A1178" s="11"/>
      <c r="B1178" s="6"/>
      <c r="C1178" s="11"/>
      <c r="D1178" s="11"/>
      <c r="E1178" s="8" t="str">
        <f aca="false">IF($A1178="","",SUMIFS($C:$C,$A:$A,$H1178,$B:$B,"&gt;="&amp;INT($B1178),$B:$B,"&lt;"&amp;(INT($B1178)+1)))</f>
        <v/>
      </c>
      <c r="F1178" s="19" t="str">
        <f aca="false">IF($A1178="","",IF(ISNA(MATCH($H1178,Buffers!$AE:$AE,0)),"Not on Buffers",IF(NOT(ISNUMBER($B1178)),"Needs a date",IF(INT($B1178)&lt;PlanDate,"Past due",IF(INT($B1178)=PlanDate,"Due today",IF(AND(INDEX(Buffers!$L:$L,MATCH($H1178,Buffers!$AE:$AE,0))="Planned",$E1178&gt;0,INT($B1178)&lt;=PlanDate+ROUNDUP(IF(ISNUMBER(SpikeHorizon),SpikeHorizon,INDEX(Buffers!$D:$D,MATCH($H1178,Buffers!$AE:$AE,0))),0),$E1178&gt;=SpikePct*INDEX(Buffers!$P:$P,MATCH($H1178,Buffers!$AE:$AE,0))),"Spike","Not qualified"))))))</f>
        <v/>
      </c>
      <c r="G1178" s="8" t="str">
        <f aca="false">IF($A1178="","",IF(OR($F1178="Past due",$F1178="Due today",$F1178="Spike"),$C1178,0))</f>
        <v/>
      </c>
      <c r="H1178" s="8" t="str">
        <f aca="false">IF($A1178="","",SUBSTITUTE(SUBSTITUTE(SUBSTITUTE($A1178&amp;"","~","~~"),"*","~*"),"?","~?"))</f>
        <v/>
      </c>
    </row>
    <row r="1179" customFormat="false" ht="15" hidden="false" customHeight="false" outlineLevel="0" collapsed="false">
      <c r="A1179" s="11"/>
      <c r="B1179" s="6"/>
      <c r="C1179" s="11"/>
      <c r="D1179" s="11"/>
      <c r="E1179" s="8" t="str">
        <f aca="false">IF($A1179="","",SUMIFS($C:$C,$A:$A,$H1179,$B:$B,"&gt;="&amp;INT($B1179),$B:$B,"&lt;"&amp;(INT($B1179)+1)))</f>
        <v/>
      </c>
      <c r="F1179" s="19" t="str">
        <f aca="false">IF($A1179="","",IF(ISNA(MATCH($H1179,Buffers!$AE:$AE,0)),"Not on Buffers",IF(NOT(ISNUMBER($B1179)),"Needs a date",IF(INT($B1179)&lt;PlanDate,"Past due",IF(INT($B1179)=PlanDate,"Due today",IF(AND(INDEX(Buffers!$L:$L,MATCH($H1179,Buffers!$AE:$AE,0))="Planned",$E1179&gt;0,INT($B1179)&lt;=PlanDate+ROUNDUP(IF(ISNUMBER(SpikeHorizon),SpikeHorizon,INDEX(Buffers!$D:$D,MATCH($H1179,Buffers!$AE:$AE,0))),0),$E1179&gt;=SpikePct*INDEX(Buffers!$P:$P,MATCH($H1179,Buffers!$AE:$AE,0))),"Spike","Not qualified"))))))</f>
        <v/>
      </c>
      <c r="G1179" s="8" t="str">
        <f aca="false">IF($A1179="","",IF(OR($F1179="Past due",$F1179="Due today",$F1179="Spike"),$C1179,0))</f>
        <v/>
      </c>
      <c r="H1179" s="8" t="str">
        <f aca="false">IF($A1179="","",SUBSTITUTE(SUBSTITUTE(SUBSTITUTE($A1179&amp;"","~","~~"),"*","~*"),"?","~?"))</f>
        <v/>
      </c>
    </row>
    <row r="1180" customFormat="false" ht="15" hidden="false" customHeight="false" outlineLevel="0" collapsed="false">
      <c r="A1180" s="11"/>
      <c r="B1180" s="6"/>
      <c r="C1180" s="11"/>
      <c r="D1180" s="11"/>
      <c r="E1180" s="8" t="str">
        <f aca="false">IF($A1180="","",SUMIFS($C:$C,$A:$A,$H1180,$B:$B,"&gt;="&amp;INT($B1180),$B:$B,"&lt;"&amp;(INT($B1180)+1)))</f>
        <v/>
      </c>
      <c r="F1180" s="19" t="str">
        <f aca="false">IF($A1180="","",IF(ISNA(MATCH($H1180,Buffers!$AE:$AE,0)),"Not on Buffers",IF(NOT(ISNUMBER($B1180)),"Needs a date",IF(INT($B1180)&lt;PlanDate,"Past due",IF(INT($B1180)=PlanDate,"Due today",IF(AND(INDEX(Buffers!$L:$L,MATCH($H1180,Buffers!$AE:$AE,0))="Planned",$E1180&gt;0,INT($B1180)&lt;=PlanDate+ROUNDUP(IF(ISNUMBER(SpikeHorizon),SpikeHorizon,INDEX(Buffers!$D:$D,MATCH($H1180,Buffers!$AE:$AE,0))),0),$E1180&gt;=SpikePct*INDEX(Buffers!$P:$P,MATCH($H1180,Buffers!$AE:$AE,0))),"Spike","Not qualified"))))))</f>
        <v/>
      </c>
      <c r="G1180" s="8" t="str">
        <f aca="false">IF($A1180="","",IF(OR($F1180="Past due",$F1180="Due today",$F1180="Spike"),$C1180,0))</f>
        <v/>
      </c>
      <c r="H1180" s="8" t="str">
        <f aca="false">IF($A1180="","",SUBSTITUTE(SUBSTITUTE(SUBSTITUTE($A1180&amp;"","~","~~"),"*","~*"),"?","~?"))</f>
        <v/>
      </c>
    </row>
    <row r="1181" customFormat="false" ht="15" hidden="false" customHeight="false" outlineLevel="0" collapsed="false">
      <c r="A1181" s="11"/>
      <c r="B1181" s="6"/>
      <c r="C1181" s="11"/>
      <c r="D1181" s="11"/>
      <c r="E1181" s="8" t="str">
        <f aca="false">IF($A1181="","",SUMIFS($C:$C,$A:$A,$H1181,$B:$B,"&gt;="&amp;INT($B1181),$B:$B,"&lt;"&amp;(INT($B1181)+1)))</f>
        <v/>
      </c>
      <c r="F1181" s="19" t="str">
        <f aca="false">IF($A1181="","",IF(ISNA(MATCH($H1181,Buffers!$AE:$AE,0)),"Not on Buffers",IF(NOT(ISNUMBER($B1181)),"Needs a date",IF(INT($B1181)&lt;PlanDate,"Past due",IF(INT($B1181)=PlanDate,"Due today",IF(AND(INDEX(Buffers!$L:$L,MATCH($H1181,Buffers!$AE:$AE,0))="Planned",$E1181&gt;0,INT($B1181)&lt;=PlanDate+ROUNDUP(IF(ISNUMBER(SpikeHorizon),SpikeHorizon,INDEX(Buffers!$D:$D,MATCH($H1181,Buffers!$AE:$AE,0))),0),$E1181&gt;=SpikePct*INDEX(Buffers!$P:$P,MATCH($H1181,Buffers!$AE:$AE,0))),"Spike","Not qualified"))))))</f>
        <v/>
      </c>
      <c r="G1181" s="8" t="str">
        <f aca="false">IF($A1181="","",IF(OR($F1181="Past due",$F1181="Due today",$F1181="Spike"),$C1181,0))</f>
        <v/>
      </c>
      <c r="H1181" s="8" t="str">
        <f aca="false">IF($A1181="","",SUBSTITUTE(SUBSTITUTE(SUBSTITUTE($A1181&amp;"","~","~~"),"*","~*"),"?","~?"))</f>
        <v/>
      </c>
    </row>
    <row r="1182" customFormat="false" ht="15" hidden="false" customHeight="false" outlineLevel="0" collapsed="false">
      <c r="A1182" s="11"/>
      <c r="B1182" s="6"/>
      <c r="C1182" s="11"/>
      <c r="D1182" s="11"/>
      <c r="E1182" s="8" t="str">
        <f aca="false">IF($A1182="","",SUMIFS($C:$C,$A:$A,$H1182,$B:$B,"&gt;="&amp;INT($B1182),$B:$B,"&lt;"&amp;(INT($B1182)+1)))</f>
        <v/>
      </c>
      <c r="F1182" s="19" t="str">
        <f aca="false">IF($A1182="","",IF(ISNA(MATCH($H1182,Buffers!$AE:$AE,0)),"Not on Buffers",IF(NOT(ISNUMBER($B1182)),"Needs a date",IF(INT($B1182)&lt;PlanDate,"Past due",IF(INT($B1182)=PlanDate,"Due today",IF(AND(INDEX(Buffers!$L:$L,MATCH($H1182,Buffers!$AE:$AE,0))="Planned",$E1182&gt;0,INT($B1182)&lt;=PlanDate+ROUNDUP(IF(ISNUMBER(SpikeHorizon),SpikeHorizon,INDEX(Buffers!$D:$D,MATCH($H1182,Buffers!$AE:$AE,0))),0),$E1182&gt;=SpikePct*INDEX(Buffers!$P:$P,MATCH($H1182,Buffers!$AE:$AE,0))),"Spike","Not qualified"))))))</f>
        <v/>
      </c>
      <c r="G1182" s="8" t="str">
        <f aca="false">IF($A1182="","",IF(OR($F1182="Past due",$F1182="Due today",$F1182="Spike"),$C1182,0))</f>
        <v/>
      </c>
      <c r="H1182" s="8" t="str">
        <f aca="false">IF($A1182="","",SUBSTITUTE(SUBSTITUTE(SUBSTITUTE($A1182&amp;"","~","~~"),"*","~*"),"?","~?"))</f>
        <v/>
      </c>
    </row>
    <row r="1183" customFormat="false" ht="15" hidden="false" customHeight="false" outlineLevel="0" collapsed="false">
      <c r="A1183" s="11"/>
      <c r="B1183" s="6"/>
      <c r="C1183" s="11"/>
      <c r="D1183" s="11"/>
      <c r="E1183" s="8" t="str">
        <f aca="false">IF($A1183="","",SUMIFS($C:$C,$A:$A,$H1183,$B:$B,"&gt;="&amp;INT($B1183),$B:$B,"&lt;"&amp;(INT($B1183)+1)))</f>
        <v/>
      </c>
      <c r="F1183" s="19" t="str">
        <f aca="false">IF($A1183="","",IF(ISNA(MATCH($H1183,Buffers!$AE:$AE,0)),"Not on Buffers",IF(NOT(ISNUMBER($B1183)),"Needs a date",IF(INT($B1183)&lt;PlanDate,"Past due",IF(INT($B1183)=PlanDate,"Due today",IF(AND(INDEX(Buffers!$L:$L,MATCH($H1183,Buffers!$AE:$AE,0))="Planned",$E1183&gt;0,INT($B1183)&lt;=PlanDate+ROUNDUP(IF(ISNUMBER(SpikeHorizon),SpikeHorizon,INDEX(Buffers!$D:$D,MATCH($H1183,Buffers!$AE:$AE,0))),0),$E1183&gt;=SpikePct*INDEX(Buffers!$P:$P,MATCH($H1183,Buffers!$AE:$AE,0))),"Spike","Not qualified"))))))</f>
        <v/>
      </c>
      <c r="G1183" s="8" t="str">
        <f aca="false">IF($A1183="","",IF(OR($F1183="Past due",$F1183="Due today",$F1183="Spike"),$C1183,0))</f>
        <v/>
      </c>
      <c r="H1183" s="8" t="str">
        <f aca="false">IF($A1183="","",SUBSTITUTE(SUBSTITUTE(SUBSTITUTE($A1183&amp;"","~","~~"),"*","~*"),"?","~?"))</f>
        <v/>
      </c>
    </row>
    <row r="1184" customFormat="false" ht="15" hidden="false" customHeight="false" outlineLevel="0" collapsed="false">
      <c r="A1184" s="11"/>
      <c r="B1184" s="6"/>
      <c r="C1184" s="11"/>
      <c r="D1184" s="11"/>
      <c r="E1184" s="8" t="str">
        <f aca="false">IF($A1184="","",SUMIFS($C:$C,$A:$A,$H1184,$B:$B,"&gt;="&amp;INT($B1184),$B:$B,"&lt;"&amp;(INT($B1184)+1)))</f>
        <v/>
      </c>
      <c r="F1184" s="19" t="str">
        <f aca="false">IF($A1184="","",IF(ISNA(MATCH($H1184,Buffers!$AE:$AE,0)),"Not on Buffers",IF(NOT(ISNUMBER($B1184)),"Needs a date",IF(INT($B1184)&lt;PlanDate,"Past due",IF(INT($B1184)=PlanDate,"Due today",IF(AND(INDEX(Buffers!$L:$L,MATCH($H1184,Buffers!$AE:$AE,0))="Planned",$E1184&gt;0,INT($B1184)&lt;=PlanDate+ROUNDUP(IF(ISNUMBER(SpikeHorizon),SpikeHorizon,INDEX(Buffers!$D:$D,MATCH($H1184,Buffers!$AE:$AE,0))),0),$E1184&gt;=SpikePct*INDEX(Buffers!$P:$P,MATCH($H1184,Buffers!$AE:$AE,0))),"Spike","Not qualified"))))))</f>
        <v/>
      </c>
      <c r="G1184" s="8" t="str">
        <f aca="false">IF($A1184="","",IF(OR($F1184="Past due",$F1184="Due today",$F1184="Spike"),$C1184,0))</f>
        <v/>
      </c>
      <c r="H1184" s="8" t="str">
        <f aca="false">IF($A1184="","",SUBSTITUTE(SUBSTITUTE(SUBSTITUTE($A1184&amp;"","~","~~"),"*","~*"),"?","~?"))</f>
        <v/>
      </c>
    </row>
    <row r="1185" customFormat="false" ht="15" hidden="false" customHeight="false" outlineLevel="0" collapsed="false">
      <c r="A1185" s="11"/>
      <c r="B1185" s="6"/>
      <c r="C1185" s="11"/>
      <c r="D1185" s="11"/>
      <c r="E1185" s="8" t="str">
        <f aca="false">IF($A1185="","",SUMIFS($C:$C,$A:$A,$H1185,$B:$B,"&gt;="&amp;INT($B1185),$B:$B,"&lt;"&amp;(INT($B1185)+1)))</f>
        <v/>
      </c>
      <c r="F1185" s="19" t="str">
        <f aca="false">IF($A1185="","",IF(ISNA(MATCH($H1185,Buffers!$AE:$AE,0)),"Not on Buffers",IF(NOT(ISNUMBER($B1185)),"Needs a date",IF(INT($B1185)&lt;PlanDate,"Past due",IF(INT($B1185)=PlanDate,"Due today",IF(AND(INDEX(Buffers!$L:$L,MATCH($H1185,Buffers!$AE:$AE,0))="Planned",$E1185&gt;0,INT($B1185)&lt;=PlanDate+ROUNDUP(IF(ISNUMBER(SpikeHorizon),SpikeHorizon,INDEX(Buffers!$D:$D,MATCH($H1185,Buffers!$AE:$AE,0))),0),$E1185&gt;=SpikePct*INDEX(Buffers!$P:$P,MATCH($H1185,Buffers!$AE:$AE,0))),"Spike","Not qualified"))))))</f>
        <v/>
      </c>
      <c r="G1185" s="8" t="str">
        <f aca="false">IF($A1185="","",IF(OR($F1185="Past due",$F1185="Due today",$F1185="Spike"),$C1185,0))</f>
        <v/>
      </c>
      <c r="H1185" s="8" t="str">
        <f aca="false">IF($A1185="","",SUBSTITUTE(SUBSTITUTE(SUBSTITUTE($A1185&amp;"","~","~~"),"*","~*"),"?","~?"))</f>
        <v/>
      </c>
    </row>
    <row r="1186" customFormat="false" ht="15" hidden="false" customHeight="false" outlineLevel="0" collapsed="false">
      <c r="A1186" s="11"/>
      <c r="B1186" s="6"/>
      <c r="C1186" s="11"/>
      <c r="D1186" s="11"/>
      <c r="E1186" s="8" t="str">
        <f aca="false">IF($A1186="","",SUMIFS($C:$C,$A:$A,$H1186,$B:$B,"&gt;="&amp;INT($B1186),$B:$B,"&lt;"&amp;(INT($B1186)+1)))</f>
        <v/>
      </c>
      <c r="F1186" s="19" t="str">
        <f aca="false">IF($A1186="","",IF(ISNA(MATCH($H1186,Buffers!$AE:$AE,0)),"Not on Buffers",IF(NOT(ISNUMBER($B1186)),"Needs a date",IF(INT($B1186)&lt;PlanDate,"Past due",IF(INT($B1186)=PlanDate,"Due today",IF(AND(INDEX(Buffers!$L:$L,MATCH($H1186,Buffers!$AE:$AE,0))="Planned",$E1186&gt;0,INT($B1186)&lt;=PlanDate+ROUNDUP(IF(ISNUMBER(SpikeHorizon),SpikeHorizon,INDEX(Buffers!$D:$D,MATCH($H1186,Buffers!$AE:$AE,0))),0),$E1186&gt;=SpikePct*INDEX(Buffers!$P:$P,MATCH($H1186,Buffers!$AE:$AE,0))),"Spike","Not qualified"))))))</f>
        <v/>
      </c>
      <c r="G1186" s="8" t="str">
        <f aca="false">IF($A1186="","",IF(OR($F1186="Past due",$F1186="Due today",$F1186="Spike"),$C1186,0))</f>
        <v/>
      </c>
      <c r="H1186" s="8" t="str">
        <f aca="false">IF($A1186="","",SUBSTITUTE(SUBSTITUTE(SUBSTITUTE($A1186&amp;"","~","~~"),"*","~*"),"?","~?"))</f>
        <v/>
      </c>
    </row>
    <row r="1187" customFormat="false" ht="15" hidden="false" customHeight="false" outlineLevel="0" collapsed="false">
      <c r="A1187" s="11"/>
      <c r="B1187" s="6"/>
      <c r="C1187" s="11"/>
      <c r="D1187" s="11"/>
      <c r="E1187" s="8" t="str">
        <f aca="false">IF($A1187="","",SUMIFS($C:$C,$A:$A,$H1187,$B:$B,"&gt;="&amp;INT($B1187),$B:$B,"&lt;"&amp;(INT($B1187)+1)))</f>
        <v/>
      </c>
      <c r="F1187" s="19" t="str">
        <f aca="false">IF($A1187="","",IF(ISNA(MATCH($H1187,Buffers!$AE:$AE,0)),"Not on Buffers",IF(NOT(ISNUMBER($B1187)),"Needs a date",IF(INT($B1187)&lt;PlanDate,"Past due",IF(INT($B1187)=PlanDate,"Due today",IF(AND(INDEX(Buffers!$L:$L,MATCH($H1187,Buffers!$AE:$AE,0))="Planned",$E1187&gt;0,INT($B1187)&lt;=PlanDate+ROUNDUP(IF(ISNUMBER(SpikeHorizon),SpikeHorizon,INDEX(Buffers!$D:$D,MATCH($H1187,Buffers!$AE:$AE,0))),0),$E1187&gt;=SpikePct*INDEX(Buffers!$P:$P,MATCH($H1187,Buffers!$AE:$AE,0))),"Spike","Not qualified"))))))</f>
        <v/>
      </c>
      <c r="G1187" s="8" t="str">
        <f aca="false">IF($A1187="","",IF(OR($F1187="Past due",$F1187="Due today",$F1187="Spike"),$C1187,0))</f>
        <v/>
      </c>
      <c r="H1187" s="8" t="str">
        <f aca="false">IF($A1187="","",SUBSTITUTE(SUBSTITUTE(SUBSTITUTE($A1187&amp;"","~","~~"),"*","~*"),"?","~?"))</f>
        <v/>
      </c>
    </row>
    <row r="1188" customFormat="false" ht="15" hidden="false" customHeight="false" outlineLevel="0" collapsed="false">
      <c r="A1188" s="11"/>
      <c r="B1188" s="6"/>
      <c r="C1188" s="11"/>
      <c r="D1188" s="11"/>
      <c r="E1188" s="8" t="str">
        <f aca="false">IF($A1188="","",SUMIFS($C:$C,$A:$A,$H1188,$B:$B,"&gt;="&amp;INT($B1188),$B:$B,"&lt;"&amp;(INT($B1188)+1)))</f>
        <v/>
      </c>
      <c r="F1188" s="19" t="str">
        <f aca="false">IF($A1188="","",IF(ISNA(MATCH($H1188,Buffers!$AE:$AE,0)),"Not on Buffers",IF(NOT(ISNUMBER($B1188)),"Needs a date",IF(INT($B1188)&lt;PlanDate,"Past due",IF(INT($B1188)=PlanDate,"Due today",IF(AND(INDEX(Buffers!$L:$L,MATCH($H1188,Buffers!$AE:$AE,0))="Planned",$E1188&gt;0,INT($B1188)&lt;=PlanDate+ROUNDUP(IF(ISNUMBER(SpikeHorizon),SpikeHorizon,INDEX(Buffers!$D:$D,MATCH($H1188,Buffers!$AE:$AE,0))),0),$E1188&gt;=SpikePct*INDEX(Buffers!$P:$P,MATCH($H1188,Buffers!$AE:$AE,0))),"Spike","Not qualified"))))))</f>
        <v/>
      </c>
      <c r="G1188" s="8" t="str">
        <f aca="false">IF($A1188="","",IF(OR($F1188="Past due",$F1188="Due today",$F1188="Spike"),$C1188,0))</f>
        <v/>
      </c>
      <c r="H1188" s="8" t="str">
        <f aca="false">IF($A1188="","",SUBSTITUTE(SUBSTITUTE(SUBSTITUTE($A1188&amp;"","~","~~"),"*","~*"),"?","~?"))</f>
        <v/>
      </c>
    </row>
    <row r="1189" customFormat="false" ht="15" hidden="false" customHeight="false" outlineLevel="0" collapsed="false">
      <c r="A1189" s="11"/>
      <c r="B1189" s="6"/>
      <c r="C1189" s="11"/>
      <c r="D1189" s="11"/>
      <c r="E1189" s="8" t="str">
        <f aca="false">IF($A1189="","",SUMIFS($C:$C,$A:$A,$H1189,$B:$B,"&gt;="&amp;INT($B1189),$B:$B,"&lt;"&amp;(INT($B1189)+1)))</f>
        <v/>
      </c>
      <c r="F1189" s="19" t="str">
        <f aca="false">IF($A1189="","",IF(ISNA(MATCH($H1189,Buffers!$AE:$AE,0)),"Not on Buffers",IF(NOT(ISNUMBER($B1189)),"Needs a date",IF(INT($B1189)&lt;PlanDate,"Past due",IF(INT($B1189)=PlanDate,"Due today",IF(AND(INDEX(Buffers!$L:$L,MATCH($H1189,Buffers!$AE:$AE,0))="Planned",$E1189&gt;0,INT($B1189)&lt;=PlanDate+ROUNDUP(IF(ISNUMBER(SpikeHorizon),SpikeHorizon,INDEX(Buffers!$D:$D,MATCH($H1189,Buffers!$AE:$AE,0))),0),$E1189&gt;=SpikePct*INDEX(Buffers!$P:$P,MATCH($H1189,Buffers!$AE:$AE,0))),"Spike","Not qualified"))))))</f>
        <v/>
      </c>
      <c r="G1189" s="8" t="str">
        <f aca="false">IF($A1189="","",IF(OR($F1189="Past due",$F1189="Due today",$F1189="Spike"),$C1189,0))</f>
        <v/>
      </c>
      <c r="H1189" s="8" t="str">
        <f aca="false">IF($A1189="","",SUBSTITUTE(SUBSTITUTE(SUBSTITUTE($A1189&amp;"","~","~~"),"*","~*"),"?","~?"))</f>
        <v/>
      </c>
    </row>
    <row r="1190" customFormat="false" ht="15" hidden="false" customHeight="false" outlineLevel="0" collapsed="false">
      <c r="A1190" s="11"/>
      <c r="B1190" s="6"/>
      <c r="C1190" s="11"/>
      <c r="D1190" s="11"/>
      <c r="E1190" s="8" t="str">
        <f aca="false">IF($A1190="","",SUMIFS($C:$C,$A:$A,$H1190,$B:$B,"&gt;="&amp;INT($B1190),$B:$B,"&lt;"&amp;(INT($B1190)+1)))</f>
        <v/>
      </c>
      <c r="F1190" s="19" t="str">
        <f aca="false">IF($A1190="","",IF(ISNA(MATCH($H1190,Buffers!$AE:$AE,0)),"Not on Buffers",IF(NOT(ISNUMBER($B1190)),"Needs a date",IF(INT($B1190)&lt;PlanDate,"Past due",IF(INT($B1190)=PlanDate,"Due today",IF(AND(INDEX(Buffers!$L:$L,MATCH($H1190,Buffers!$AE:$AE,0))="Planned",$E1190&gt;0,INT($B1190)&lt;=PlanDate+ROUNDUP(IF(ISNUMBER(SpikeHorizon),SpikeHorizon,INDEX(Buffers!$D:$D,MATCH($H1190,Buffers!$AE:$AE,0))),0),$E1190&gt;=SpikePct*INDEX(Buffers!$P:$P,MATCH($H1190,Buffers!$AE:$AE,0))),"Spike","Not qualified"))))))</f>
        <v/>
      </c>
      <c r="G1190" s="8" t="str">
        <f aca="false">IF($A1190="","",IF(OR($F1190="Past due",$F1190="Due today",$F1190="Spike"),$C1190,0))</f>
        <v/>
      </c>
      <c r="H1190" s="8" t="str">
        <f aca="false">IF($A1190="","",SUBSTITUTE(SUBSTITUTE(SUBSTITUTE($A1190&amp;"","~","~~"),"*","~*"),"?","~?"))</f>
        <v/>
      </c>
    </row>
    <row r="1191" customFormat="false" ht="15" hidden="false" customHeight="false" outlineLevel="0" collapsed="false">
      <c r="A1191" s="11"/>
      <c r="B1191" s="6"/>
      <c r="C1191" s="11"/>
      <c r="D1191" s="11"/>
      <c r="E1191" s="8" t="str">
        <f aca="false">IF($A1191="","",SUMIFS($C:$C,$A:$A,$H1191,$B:$B,"&gt;="&amp;INT($B1191),$B:$B,"&lt;"&amp;(INT($B1191)+1)))</f>
        <v/>
      </c>
      <c r="F1191" s="19" t="str">
        <f aca="false">IF($A1191="","",IF(ISNA(MATCH($H1191,Buffers!$AE:$AE,0)),"Not on Buffers",IF(NOT(ISNUMBER($B1191)),"Needs a date",IF(INT($B1191)&lt;PlanDate,"Past due",IF(INT($B1191)=PlanDate,"Due today",IF(AND(INDEX(Buffers!$L:$L,MATCH($H1191,Buffers!$AE:$AE,0))="Planned",$E1191&gt;0,INT($B1191)&lt;=PlanDate+ROUNDUP(IF(ISNUMBER(SpikeHorizon),SpikeHorizon,INDEX(Buffers!$D:$D,MATCH($H1191,Buffers!$AE:$AE,0))),0),$E1191&gt;=SpikePct*INDEX(Buffers!$P:$P,MATCH($H1191,Buffers!$AE:$AE,0))),"Spike","Not qualified"))))))</f>
        <v/>
      </c>
      <c r="G1191" s="8" t="str">
        <f aca="false">IF($A1191="","",IF(OR($F1191="Past due",$F1191="Due today",$F1191="Spike"),$C1191,0))</f>
        <v/>
      </c>
      <c r="H1191" s="8" t="str">
        <f aca="false">IF($A1191="","",SUBSTITUTE(SUBSTITUTE(SUBSTITUTE($A1191&amp;"","~","~~"),"*","~*"),"?","~?"))</f>
        <v/>
      </c>
    </row>
    <row r="1192" customFormat="false" ht="15" hidden="false" customHeight="false" outlineLevel="0" collapsed="false">
      <c r="A1192" s="11"/>
      <c r="B1192" s="6"/>
      <c r="C1192" s="11"/>
      <c r="D1192" s="11"/>
      <c r="E1192" s="8" t="str">
        <f aca="false">IF($A1192="","",SUMIFS($C:$C,$A:$A,$H1192,$B:$B,"&gt;="&amp;INT($B1192),$B:$B,"&lt;"&amp;(INT($B1192)+1)))</f>
        <v/>
      </c>
      <c r="F1192" s="19" t="str">
        <f aca="false">IF($A1192="","",IF(ISNA(MATCH($H1192,Buffers!$AE:$AE,0)),"Not on Buffers",IF(NOT(ISNUMBER($B1192)),"Needs a date",IF(INT($B1192)&lt;PlanDate,"Past due",IF(INT($B1192)=PlanDate,"Due today",IF(AND(INDEX(Buffers!$L:$L,MATCH($H1192,Buffers!$AE:$AE,0))="Planned",$E1192&gt;0,INT($B1192)&lt;=PlanDate+ROUNDUP(IF(ISNUMBER(SpikeHorizon),SpikeHorizon,INDEX(Buffers!$D:$D,MATCH($H1192,Buffers!$AE:$AE,0))),0),$E1192&gt;=SpikePct*INDEX(Buffers!$P:$P,MATCH($H1192,Buffers!$AE:$AE,0))),"Spike","Not qualified"))))))</f>
        <v/>
      </c>
      <c r="G1192" s="8" t="str">
        <f aca="false">IF($A1192="","",IF(OR($F1192="Past due",$F1192="Due today",$F1192="Spike"),$C1192,0))</f>
        <v/>
      </c>
      <c r="H1192" s="8" t="str">
        <f aca="false">IF($A1192="","",SUBSTITUTE(SUBSTITUTE(SUBSTITUTE($A1192&amp;"","~","~~"),"*","~*"),"?","~?"))</f>
        <v/>
      </c>
    </row>
    <row r="1193" customFormat="false" ht="15" hidden="false" customHeight="false" outlineLevel="0" collapsed="false">
      <c r="A1193" s="11"/>
      <c r="B1193" s="6"/>
      <c r="C1193" s="11"/>
      <c r="D1193" s="11"/>
      <c r="E1193" s="8" t="str">
        <f aca="false">IF($A1193="","",SUMIFS($C:$C,$A:$A,$H1193,$B:$B,"&gt;="&amp;INT($B1193),$B:$B,"&lt;"&amp;(INT($B1193)+1)))</f>
        <v/>
      </c>
      <c r="F1193" s="19" t="str">
        <f aca="false">IF($A1193="","",IF(ISNA(MATCH($H1193,Buffers!$AE:$AE,0)),"Not on Buffers",IF(NOT(ISNUMBER($B1193)),"Needs a date",IF(INT($B1193)&lt;PlanDate,"Past due",IF(INT($B1193)=PlanDate,"Due today",IF(AND(INDEX(Buffers!$L:$L,MATCH($H1193,Buffers!$AE:$AE,0))="Planned",$E1193&gt;0,INT($B1193)&lt;=PlanDate+ROUNDUP(IF(ISNUMBER(SpikeHorizon),SpikeHorizon,INDEX(Buffers!$D:$D,MATCH($H1193,Buffers!$AE:$AE,0))),0),$E1193&gt;=SpikePct*INDEX(Buffers!$P:$P,MATCH($H1193,Buffers!$AE:$AE,0))),"Spike","Not qualified"))))))</f>
        <v/>
      </c>
      <c r="G1193" s="8" t="str">
        <f aca="false">IF($A1193="","",IF(OR($F1193="Past due",$F1193="Due today",$F1193="Spike"),$C1193,0))</f>
        <v/>
      </c>
      <c r="H1193" s="8" t="str">
        <f aca="false">IF($A1193="","",SUBSTITUTE(SUBSTITUTE(SUBSTITUTE($A1193&amp;"","~","~~"),"*","~*"),"?","~?"))</f>
        <v/>
      </c>
    </row>
    <row r="1194" customFormat="false" ht="15" hidden="false" customHeight="false" outlineLevel="0" collapsed="false">
      <c r="A1194" s="11"/>
      <c r="B1194" s="6"/>
      <c r="C1194" s="11"/>
      <c r="D1194" s="11"/>
      <c r="E1194" s="8" t="str">
        <f aca="false">IF($A1194="","",SUMIFS($C:$C,$A:$A,$H1194,$B:$B,"&gt;="&amp;INT($B1194),$B:$B,"&lt;"&amp;(INT($B1194)+1)))</f>
        <v/>
      </c>
      <c r="F1194" s="19" t="str">
        <f aca="false">IF($A1194="","",IF(ISNA(MATCH($H1194,Buffers!$AE:$AE,0)),"Not on Buffers",IF(NOT(ISNUMBER($B1194)),"Needs a date",IF(INT($B1194)&lt;PlanDate,"Past due",IF(INT($B1194)=PlanDate,"Due today",IF(AND(INDEX(Buffers!$L:$L,MATCH($H1194,Buffers!$AE:$AE,0))="Planned",$E1194&gt;0,INT($B1194)&lt;=PlanDate+ROUNDUP(IF(ISNUMBER(SpikeHorizon),SpikeHorizon,INDEX(Buffers!$D:$D,MATCH($H1194,Buffers!$AE:$AE,0))),0),$E1194&gt;=SpikePct*INDEX(Buffers!$P:$P,MATCH($H1194,Buffers!$AE:$AE,0))),"Spike","Not qualified"))))))</f>
        <v/>
      </c>
      <c r="G1194" s="8" t="str">
        <f aca="false">IF($A1194="","",IF(OR($F1194="Past due",$F1194="Due today",$F1194="Spike"),$C1194,0))</f>
        <v/>
      </c>
      <c r="H1194" s="8" t="str">
        <f aca="false">IF($A1194="","",SUBSTITUTE(SUBSTITUTE(SUBSTITUTE($A1194&amp;"","~","~~"),"*","~*"),"?","~?"))</f>
        <v/>
      </c>
    </row>
    <row r="1195" customFormat="false" ht="15" hidden="false" customHeight="false" outlineLevel="0" collapsed="false">
      <c r="A1195" s="11"/>
      <c r="B1195" s="6"/>
      <c r="C1195" s="11"/>
      <c r="D1195" s="11"/>
      <c r="E1195" s="8" t="str">
        <f aca="false">IF($A1195="","",SUMIFS($C:$C,$A:$A,$H1195,$B:$B,"&gt;="&amp;INT($B1195),$B:$B,"&lt;"&amp;(INT($B1195)+1)))</f>
        <v/>
      </c>
      <c r="F1195" s="19" t="str">
        <f aca="false">IF($A1195="","",IF(ISNA(MATCH($H1195,Buffers!$AE:$AE,0)),"Not on Buffers",IF(NOT(ISNUMBER($B1195)),"Needs a date",IF(INT($B1195)&lt;PlanDate,"Past due",IF(INT($B1195)=PlanDate,"Due today",IF(AND(INDEX(Buffers!$L:$L,MATCH($H1195,Buffers!$AE:$AE,0))="Planned",$E1195&gt;0,INT($B1195)&lt;=PlanDate+ROUNDUP(IF(ISNUMBER(SpikeHorizon),SpikeHorizon,INDEX(Buffers!$D:$D,MATCH($H1195,Buffers!$AE:$AE,0))),0),$E1195&gt;=SpikePct*INDEX(Buffers!$P:$P,MATCH($H1195,Buffers!$AE:$AE,0))),"Spike","Not qualified"))))))</f>
        <v/>
      </c>
      <c r="G1195" s="8" t="str">
        <f aca="false">IF($A1195="","",IF(OR($F1195="Past due",$F1195="Due today",$F1195="Spike"),$C1195,0))</f>
        <v/>
      </c>
      <c r="H1195" s="8" t="str">
        <f aca="false">IF($A1195="","",SUBSTITUTE(SUBSTITUTE(SUBSTITUTE($A1195&amp;"","~","~~"),"*","~*"),"?","~?"))</f>
        <v/>
      </c>
    </row>
    <row r="1196" customFormat="false" ht="15" hidden="false" customHeight="false" outlineLevel="0" collapsed="false">
      <c r="A1196" s="11"/>
      <c r="B1196" s="6"/>
      <c r="C1196" s="11"/>
      <c r="D1196" s="11"/>
      <c r="E1196" s="8" t="str">
        <f aca="false">IF($A1196="","",SUMIFS($C:$C,$A:$A,$H1196,$B:$B,"&gt;="&amp;INT($B1196),$B:$B,"&lt;"&amp;(INT($B1196)+1)))</f>
        <v/>
      </c>
      <c r="F1196" s="19" t="str">
        <f aca="false">IF($A1196="","",IF(ISNA(MATCH($H1196,Buffers!$AE:$AE,0)),"Not on Buffers",IF(NOT(ISNUMBER($B1196)),"Needs a date",IF(INT($B1196)&lt;PlanDate,"Past due",IF(INT($B1196)=PlanDate,"Due today",IF(AND(INDEX(Buffers!$L:$L,MATCH($H1196,Buffers!$AE:$AE,0))="Planned",$E1196&gt;0,INT($B1196)&lt;=PlanDate+ROUNDUP(IF(ISNUMBER(SpikeHorizon),SpikeHorizon,INDEX(Buffers!$D:$D,MATCH($H1196,Buffers!$AE:$AE,0))),0),$E1196&gt;=SpikePct*INDEX(Buffers!$P:$P,MATCH($H1196,Buffers!$AE:$AE,0))),"Spike","Not qualified"))))))</f>
        <v/>
      </c>
      <c r="G1196" s="8" t="str">
        <f aca="false">IF($A1196="","",IF(OR($F1196="Past due",$F1196="Due today",$F1196="Spike"),$C1196,0))</f>
        <v/>
      </c>
      <c r="H1196" s="8" t="str">
        <f aca="false">IF($A1196="","",SUBSTITUTE(SUBSTITUTE(SUBSTITUTE($A1196&amp;"","~","~~"),"*","~*"),"?","~?"))</f>
        <v/>
      </c>
    </row>
    <row r="1197" customFormat="false" ht="15" hidden="false" customHeight="false" outlineLevel="0" collapsed="false">
      <c r="A1197" s="11"/>
      <c r="B1197" s="6"/>
      <c r="C1197" s="11"/>
      <c r="D1197" s="11"/>
      <c r="E1197" s="8" t="str">
        <f aca="false">IF($A1197="","",SUMIFS($C:$C,$A:$A,$H1197,$B:$B,"&gt;="&amp;INT($B1197),$B:$B,"&lt;"&amp;(INT($B1197)+1)))</f>
        <v/>
      </c>
      <c r="F1197" s="19" t="str">
        <f aca="false">IF($A1197="","",IF(ISNA(MATCH($H1197,Buffers!$AE:$AE,0)),"Not on Buffers",IF(NOT(ISNUMBER($B1197)),"Needs a date",IF(INT($B1197)&lt;PlanDate,"Past due",IF(INT($B1197)=PlanDate,"Due today",IF(AND(INDEX(Buffers!$L:$L,MATCH($H1197,Buffers!$AE:$AE,0))="Planned",$E1197&gt;0,INT($B1197)&lt;=PlanDate+ROUNDUP(IF(ISNUMBER(SpikeHorizon),SpikeHorizon,INDEX(Buffers!$D:$D,MATCH($H1197,Buffers!$AE:$AE,0))),0),$E1197&gt;=SpikePct*INDEX(Buffers!$P:$P,MATCH($H1197,Buffers!$AE:$AE,0))),"Spike","Not qualified"))))))</f>
        <v/>
      </c>
      <c r="G1197" s="8" t="str">
        <f aca="false">IF($A1197="","",IF(OR($F1197="Past due",$F1197="Due today",$F1197="Spike"),$C1197,0))</f>
        <v/>
      </c>
      <c r="H1197" s="8" t="str">
        <f aca="false">IF($A1197="","",SUBSTITUTE(SUBSTITUTE(SUBSTITUTE($A1197&amp;"","~","~~"),"*","~*"),"?","~?"))</f>
        <v/>
      </c>
    </row>
    <row r="1198" customFormat="false" ht="15" hidden="false" customHeight="false" outlineLevel="0" collapsed="false">
      <c r="A1198" s="11"/>
      <c r="B1198" s="6"/>
      <c r="C1198" s="11"/>
      <c r="D1198" s="11"/>
      <c r="E1198" s="8" t="str">
        <f aca="false">IF($A1198="","",SUMIFS($C:$C,$A:$A,$H1198,$B:$B,"&gt;="&amp;INT($B1198),$B:$B,"&lt;"&amp;(INT($B1198)+1)))</f>
        <v/>
      </c>
      <c r="F1198" s="19" t="str">
        <f aca="false">IF($A1198="","",IF(ISNA(MATCH($H1198,Buffers!$AE:$AE,0)),"Not on Buffers",IF(NOT(ISNUMBER($B1198)),"Needs a date",IF(INT($B1198)&lt;PlanDate,"Past due",IF(INT($B1198)=PlanDate,"Due today",IF(AND(INDEX(Buffers!$L:$L,MATCH($H1198,Buffers!$AE:$AE,0))="Planned",$E1198&gt;0,INT($B1198)&lt;=PlanDate+ROUNDUP(IF(ISNUMBER(SpikeHorizon),SpikeHorizon,INDEX(Buffers!$D:$D,MATCH($H1198,Buffers!$AE:$AE,0))),0),$E1198&gt;=SpikePct*INDEX(Buffers!$P:$P,MATCH($H1198,Buffers!$AE:$AE,0))),"Spike","Not qualified"))))))</f>
        <v/>
      </c>
      <c r="G1198" s="8" t="str">
        <f aca="false">IF($A1198="","",IF(OR($F1198="Past due",$F1198="Due today",$F1198="Spike"),$C1198,0))</f>
        <v/>
      </c>
      <c r="H1198" s="8" t="str">
        <f aca="false">IF($A1198="","",SUBSTITUTE(SUBSTITUTE(SUBSTITUTE($A1198&amp;"","~","~~"),"*","~*"),"?","~?"))</f>
        <v/>
      </c>
    </row>
    <row r="1199" customFormat="false" ht="15" hidden="false" customHeight="false" outlineLevel="0" collapsed="false">
      <c r="A1199" s="11"/>
      <c r="B1199" s="6"/>
      <c r="C1199" s="11"/>
      <c r="D1199" s="11"/>
      <c r="E1199" s="8" t="str">
        <f aca="false">IF($A1199="","",SUMIFS($C:$C,$A:$A,$H1199,$B:$B,"&gt;="&amp;INT($B1199),$B:$B,"&lt;"&amp;(INT($B1199)+1)))</f>
        <v/>
      </c>
      <c r="F1199" s="19" t="str">
        <f aca="false">IF($A1199="","",IF(ISNA(MATCH($H1199,Buffers!$AE:$AE,0)),"Not on Buffers",IF(NOT(ISNUMBER($B1199)),"Needs a date",IF(INT($B1199)&lt;PlanDate,"Past due",IF(INT($B1199)=PlanDate,"Due today",IF(AND(INDEX(Buffers!$L:$L,MATCH($H1199,Buffers!$AE:$AE,0))="Planned",$E1199&gt;0,INT($B1199)&lt;=PlanDate+ROUNDUP(IF(ISNUMBER(SpikeHorizon),SpikeHorizon,INDEX(Buffers!$D:$D,MATCH($H1199,Buffers!$AE:$AE,0))),0),$E1199&gt;=SpikePct*INDEX(Buffers!$P:$P,MATCH($H1199,Buffers!$AE:$AE,0))),"Spike","Not qualified"))))))</f>
        <v/>
      </c>
      <c r="G1199" s="8" t="str">
        <f aca="false">IF($A1199="","",IF(OR($F1199="Past due",$F1199="Due today",$F1199="Spike"),$C1199,0))</f>
        <v/>
      </c>
      <c r="H1199" s="8" t="str">
        <f aca="false">IF($A1199="","",SUBSTITUTE(SUBSTITUTE(SUBSTITUTE($A1199&amp;"","~","~~"),"*","~*"),"?","~?"))</f>
        <v/>
      </c>
    </row>
    <row r="1200" customFormat="false" ht="15" hidden="false" customHeight="false" outlineLevel="0" collapsed="false">
      <c r="A1200" s="11"/>
      <c r="B1200" s="6"/>
      <c r="C1200" s="11"/>
      <c r="D1200" s="11"/>
      <c r="E1200" s="8" t="str">
        <f aca="false">IF($A1200="","",SUMIFS($C:$C,$A:$A,$H1200,$B:$B,"&gt;="&amp;INT($B1200),$B:$B,"&lt;"&amp;(INT($B1200)+1)))</f>
        <v/>
      </c>
      <c r="F1200" s="19" t="str">
        <f aca="false">IF($A1200="","",IF(ISNA(MATCH($H1200,Buffers!$AE:$AE,0)),"Not on Buffers",IF(NOT(ISNUMBER($B1200)),"Needs a date",IF(INT($B1200)&lt;PlanDate,"Past due",IF(INT($B1200)=PlanDate,"Due today",IF(AND(INDEX(Buffers!$L:$L,MATCH($H1200,Buffers!$AE:$AE,0))="Planned",$E1200&gt;0,INT($B1200)&lt;=PlanDate+ROUNDUP(IF(ISNUMBER(SpikeHorizon),SpikeHorizon,INDEX(Buffers!$D:$D,MATCH($H1200,Buffers!$AE:$AE,0))),0),$E1200&gt;=SpikePct*INDEX(Buffers!$P:$P,MATCH($H1200,Buffers!$AE:$AE,0))),"Spike","Not qualified"))))))</f>
        <v/>
      </c>
      <c r="G1200" s="8" t="str">
        <f aca="false">IF($A1200="","",IF(OR($F1200="Past due",$F1200="Due today",$F1200="Spike"),$C1200,0))</f>
        <v/>
      </c>
      <c r="H1200" s="8" t="str">
        <f aca="false">IF($A1200="","",SUBSTITUTE(SUBSTITUTE(SUBSTITUTE($A1200&amp;"","~","~~"),"*","~*"),"?","~?"))</f>
        <v/>
      </c>
    </row>
    <row r="1201" customFormat="false" ht="15" hidden="false" customHeight="false" outlineLevel="0" collapsed="false">
      <c r="A1201" s="11"/>
      <c r="B1201" s="6"/>
      <c r="C1201" s="11"/>
      <c r="D1201" s="11"/>
      <c r="E1201" s="8" t="str">
        <f aca="false">IF($A1201="","",SUMIFS($C:$C,$A:$A,$H1201,$B:$B,"&gt;="&amp;INT($B1201),$B:$B,"&lt;"&amp;(INT($B1201)+1)))</f>
        <v/>
      </c>
      <c r="F1201" s="19" t="str">
        <f aca="false">IF($A1201="","",IF(ISNA(MATCH($H1201,Buffers!$AE:$AE,0)),"Not on Buffers",IF(NOT(ISNUMBER($B1201)),"Needs a date",IF(INT($B1201)&lt;PlanDate,"Past due",IF(INT($B1201)=PlanDate,"Due today",IF(AND(INDEX(Buffers!$L:$L,MATCH($H1201,Buffers!$AE:$AE,0))="Planned",$E1201&gt;0,INT($B1201)&lt;=PlanDate+ROUNDUP(IF(ISNUMBER(SpikeHorizon),SpikeHorizon,INDEX(Buffers!$D:$D,MATCH($H1201,Buffers!$AE:$AE,0))),0),$E1201&gt;=SpikePct*INDEX(Buffers!$P:$P,MATCH($H1201,Buffers!$AE:$AE,0))),"Spike","Not qualified"))))))</f>
        <v/>
      </c>
      <c r="G1201" s="8" t="str">
        <f aca="false">IF($A1201="","",IF(OR($F1201="Past due",$F1201="Due today",$F1201="Spike"),$C1201,0))</f>
        <v/>
      </c>
      <c r="H1201" s="8" t="str">
        <f aca="false">IF($A1201="","",SUBSTITUTE(SUBSTITUTE(SUBSTITUTE($A1201&amp;"","~","~~"),"*","~*"),"?","~?"))</f>
        <v/>
      </c>
    </row>
    <row r="1202" customFormat="false" ht="15" hidden="false" customHeight="false" outlineLevel="0" collapsed="false">
      <c r="A1202" s="11"/>
      <c r="B1202" s="6"/>
      <c r="C1202" s="11"/>
      <c r="D1202" s="11"/>
      <c r="E1202" s="8" t="str">
        <f aca="false">IF($A1202="","",SUMIFS($C:$C,$A:$A,$H1202,$B:$B,"&gt;="&amp;INT($B1202),$B:$B,"&lt;"&amp;(INT($B1202)+1)))</f>
        <v/>
      </c>
      <c r="F1202" s="19" t="str">
        <f aca="false">IF($A1202="","",IF(ISNA(MATCH($H1202,Buffers!$AE:$AE,0)),"Not on Buffers",IF(NOT(ISNUMBER($B1202)),"Needs a date",IF(INT($B1202)&lt;PlanDate,"Past due",IF(INT($B1202)=PlanDate,"Due today",IF(AND(INDEX(Buffers!$L:$L,MATCH($H1202,Buffers!$AE:$AE,0))="Planned",$E1202&gt;0,INT($B1202)&lt;=PlanDate+ROUNDUP(IF(ISNUMBER(SpikeHorizon),SpikeHorizon,INDEX(Buffers!$D:$D,MATCH($H1202,Buffers!$AE:$AE,0))),0),$E1202&gt;=SpikePct*INDEX(Buffers!$P:$P,MATCH($H1202,Buffers!$AE:$AE,0))),"Spike","Not qualified"))))))</f>
        <v/>
      </c>
      <c r="G1202" s="8" t="str">
        <f aca="false">IF($A1202="","",IF(OR($F1202="Past due",$F1202="Due today",$F1202="Spike"),$C1202,0))</f>
        <v/>
      </c>
      <c r="H1202" s="8" t="str">
        <f aca="false">IF($A1202="","",SUBSTITUTE(SUBSTITUTE(SUBSTITUTE($A1202&amp;"","~","~~"),"*","~*"),"?","~?"))</f>
        <v/>
      </c>
    </row>
    <row r="1203" customFormat="false" ht="15" hidden="false" customHeight="false" outlineLevel="0" collapsed="false">
      <c r="A1203" s="11"/>
      <c r="B1203" s="6"/>
      <c r="C1203" s="11"/>
      <c r="D1203" s="11"/>
      <c r="E1203" s="8" t="str">
        <f aca="false">IF($A1203="","",SUMIFS($C:$C,$A:$A,$H1203,$B:$B,"&gt;="&amp;INT($B1203),$B:$B,"&lt;"&amp;(INT($B1203)+1)))</f>
        <v/>
      </c>
      <c r="F1203" s="19" t="str">
        <f aca="false">IF($A1203="","",IF(ISNA(MATCH($H1203,Buffers!$AE:$AE,0)),"Not on Buffers",IF(NOT(ISNUMBER($B1203)),"Needs a date",IF(INT($B1203)&lt;PlanDate,"Past due",IF(INT($B1203)=PlanDate,"Due today",IF(AND(INDEX(Buffers!$L:$L,MATCH($H1203,Buffers!$AE:$AE,0))="Planned",$E1203&gt;0,INT($B1203)&lt;=PlanDate+ROUNDUP(IF(ISNUMBER(SpikeHorizon),SpikeHorizon,INDEX(Buffers!$D:$D,MATCH($H1203,Buffers!$AE:$AE,0))),0),$E1203&gt;=SpikePct*INDEX(Buffers!$P:$P,MATCH($H1203,Buffers!$AE:$AE,0))),"Spike","Not qualified"))))))</f>
        <v/>
      </c>
      <c r="G1203" s="8" t="str">
        <f aca="false">IF($A1203="","",IF(OR($F1203="Past due",$F1203="Due today",$F1203="Spike"),$C1203,0))</f>
        <v/>
      </c>
      <c r="H1203" s="8" t="str">
        <f aca="false">IF($A1203="","",SUBSTITUTE(SUBSTITUTE(SUBSTITUTE($A1203&amp;"","~","~~"),"*","~*"),"?","~?"))</f>
        <v/>
      </c>
    </row>
    <row r="1204" customFormat="false" ht="15" hidden="false" customHeight="false" outlineLevel="0" collapsed="false">
      <c r="A1204" s="11"/>
      <c r="B1204" s="6"/>
      <c r="C1204" s="11"/>
      <c r="D1204" s="11"/>
      <c r="E1204" s="8" t="str">
        <f aca="false">IF($A1204="","",SUMIFS($C:$C,$A:$A,$H1204,$B:$B,"&gt;="&amp;INT($B1204),$B:$B,"&lt;"&amp;(INT($B1204)+1)))</f>
        <v/>
      </c>
      <c r="F1204" s="19" t="str">
        <f aca="false">IF($A1204="","",IF(ISNA(MATCH($H1204,Buffers!$AE:$AE,0)),"Not on Buffers",IF(NOT(ISNUMBER($B1204)),"Needs a date",IF(INT($B1204)&lt;PlanDate,"Past due",IF(INT($B1204)=PlanDate,"Due today",IF(AND(INDEX(Buffers!$L:$L,MATCH($H1204,Buffers!$AE:$AE,0))="Planned",$E1204&gt;0,INT($B1204)&lt;=PlanDate+ROUNDUP(IF(ISNUMBER(SpikeHorizon),SpikeHorizon,INDEX(Buffers!$D:$D,MATCH($H1204,Buffers!$AE:$AE,0))),0),$E1204&gt;=SpikePct*INDEX(Buffers!$P:$P,MATCH($H1204,Buffers!$AE:$AE,0))),"Spike","Not qualified"))))))</f>
        <v/>
      </c>
      <c r="G1204" s="8" t="str">
        <f aca="false">IF($A1204="","",IF(OR($F1204="Past due",$F1204="Due today",$F1204="Spike"),$C1204,0))</f>
        <v/>
      </c>
      <c r="H1204" s="8" t="str">
        <f aca="false">IF($A1204="","",SUBSTITUTE(SUBSTITUTE(SUBSTITUTE($A1204&amp;"","~","~~"),"*","~*"),"?","~?"))</f>
        <v/>
      </c>
    </row>
    <row r="1205" customFormat="false" ht="15" hidden="false" customHeight="false" outlineLevel="0" collapsed="false">
      <c r="A1205" s="11"/>
      <c r="B1205" s="6"/>
      <c r="C1205" s="11"/>
      <c r="D1205" s="11"/>
      <c r="E1205" s="8" t="str">
        <f aca="false">IF($A1205="","",SUMIFS($C:$C,$A:$A,$H1205,$B:$B,"&gt;="&amp;INT($B1205),$B:$B,"&lt;"&amp;(INT($B1205)+1)))</f>
        <v/>
      </c>
      <c r="F1205" s="19" t="str">
        <f aca="false">IF($A1205="","",IF(ISNA(MATCH($H1205,Buffers!$AE:$AE,0)),"Not on Buffers",IF(NOT(ISNUMBER($B1205)),"Needs a date",IF(INT($B1205)&lt;PlanDate,"Past due",IF(INT($B1205)=PlanDate,"Due today",IF(AND(INDEX(Buffers!$L:$L,MATCH($H1205,Buffers!$AE:$AE,0))="Planned",$E1205&gt;0,INT($B1205)&lt;=PlanDate+ROUNDUP(IF(ISNUMBER(SpikeHorizon),SpikeHorizon,INDEX(Buffers!$D:$D,MATCH($H1205,Buffers!$AE:$AE,0))),0),$E1205&gt;=SpikePct*INDEX(Buffers!$P:$P,MATCH($H1205,Buffers!$AE:$AE,0))),"Spike","Not qualified"))))))</f>
        <v/>
      </c>
      <c r="G1205" s="8" t="str">
        <f aca="false">IF($A1205="","",IF(OR($F1205="Past due",$F1205="Due today",$F1205="Spike"),$C1205,0))</f>
        <v/>
      </c>
      <c r="H1205" s="8" t="str">
        <f aca="false">IF($A1205="","",SUBSTITUTE(SUBSTITUTE(SUBSTITUTE($A1205&amp;"","~","~~"),"*","~*"),"?","~?"))</f>
        <v/>
      </c>
    </row>
    <row r="1206" customFormat="false" ht="15" hidden="false" customHeight="false" outlineLevel="0" collapsed="false">
      <c r="A1206" s="11"/>
      <c r="B1206" s="6"/>
      <c r="C1206" s="11"/>
      <c r="D1206" s="11"/>
      <c r="E1206" s="8" t="str">
        <f aca="false">IF($A1206="","",SUMIFS($C:$C,$A:$A,$H1206,$B:$B,"&gt;="&amp;INT($B1206),$B:$B,"&lt;"&amp;(INT($B1206)+1)))</f>
        <v/>
      </c>
      <c r="F1206" s="19" t="str">
        <f aca="false">IF($A1206="","",IF(ISNA(MATCH($H1206,Buffers!$AE:$AE,0)),"Not on Buffers",IF(NOT(ISNUMBER($B1206)),"Needs a date",IF(INT($B1206)&lt;PlanDate,"Past due",IF(INT($B1206)=PlanDate,"Due today",IF(AND(INDEX(Buffers!$L:$L,MATCH($H1206,Buffers!$AE:$AE,0))="Planned",$E1206&gt;0,INT($B1206)&lt;=PlanDate+ROUNDUP(IF(ISNUMBER(SpikeHorizon),SpikeHorizon,INDEX(Buffers!$D:$D,MATCH($H1206,Buffers!$AE:$AE,0))),0),$E1206&gt;=SpikePct*INDEX(Buffers!$P:$P,MATCH($H1206,Buffers!$AE:$AE,0))),"Spike","Not qualified"))))))</f>
        <v/>
      </c>
      <c r="G1206" s="8" t="str">
        <f aca="false">IF($A1206="","",IF(OR($F1206="Past due",$F1206="Due today",$F1206="Spike"),$C1206,0))</f>
        <v/>
      </c>
      <c r="H1206" s="8" t="str">
        <f aca="false">IF($A1206="","",SUBSTITUTE(SUBSTITUTE(SUBSTITUTE($A1206&amp;"","~","~~"),"*","~*"),"?","~?"))</f>
        <v/>
      </c>
    </row>
    <row r="1207" customFormat="false" ht="15" hidden="false" customHeight="false" outlineLevel="0" collapsed="false">
      <c r="A1207" s="11"/>
      <c r="B1207" s="6"/>
      <c r="C1207" s="11"/>
      <c r="D1207" s="11"/>
      <c r="E1207" s="8" t="str">
        <f aca="false">IF($A1207="","",SUMIFS($C:$C,$A:$A,$H1207,$B:$B,"&gt;="&amp;INT($B1207),$B:$B,"&lt;"&amp;(INT($B1207)+1)))</f>
        <v/>
      </c>
      <c r="F1207" s="19" t="str">
        <f aca="false">IF($A1207="","",IF(ISNA(MATCH($H1207,Buffers!$AE:$AE,0)),"Not on Buffers",IF(NOT(ISNUMBER($B1207)),"Needs a date",IF(INT($B1207)&lt;PlanDate,"Past due",IF(INT($B1207)=PlanDate,"Due today",IF(AND(INDEX(Buffers!$L:$L,MATCH($H1207,Buffers!$AE:$AE,0))="Planned",$E1207&gt;0,INT($B1207)&lt;=PlanDate+ROUNDUP(IF(ISNUMBER(SpikeHorizon),SpikeHorizon,INDEX(Buffers!$D:$D,MATCH($H1207,Buffers!$AE:$AE,0))),0),$E1207&gt;=SpikePct*INDEX(Buffers!$P:$P,MATCH($H1207,Buffers!$AE:$AE,0))),"Spike","Not qualified"))))))</f>
        <v/>
      </c>
      <c r="G1207" s="8" t="str">
        <f aca="false">IF($A1207="","",IF(OR($F1207="Past due",$F1207="Due today",$F1207="Spike"),$C1207,0))</f>
        <v/>
      </c>
      <c r="H1207" s="8" t="str">
        <f aca="false">IF($A1207="","",SUBSTITUTE(SUBSTITUTE(SUBSTITUTE($A1207&amp;"","~","~~"),"*","~*"),"?","~?"))</f>
        <v/>
      </c>
    </row>
    <row r="1208" customFormat="false" ht="15" hidden="false" customHeight="false" outlineLevel="0" collapsed="false">
      <c r="A1208" s="11"/>
      <c r="B1208" s="6"/>
      <c r="C1208" s="11"/>
      <c r="D1208" s="11"/>
      <c r="E1208" s="8" t="str">
        <f aca="false">IF($A1208="","",SUMIFS($C:$C,$A:$A,$H1208,$B:$B,"&gt;="&amp;INT($B1208),$B:$B,"&lt;"&amp;(INT($B1208)+1)))</f>
        <v/>
      </c>
      <c r="F1208" s="19" t="str">
        <f aca="false">IF($A1208="","",IF(ISNA(MATCH($H1208,Buffers!$AE:$AE,0)),"Not on Buffers",IF(NOT(ISNUMBER($B1208)),"Needs a date",IF(INT($B1208)&lt;PlanDate,"Past due",IF(INT($B1208)=PlanDate,"Due today",IF(AND(INDEX(Buffers!$L:$L,MATCH($H1208,Buffers!$AE:$AE,0))="Planned",$E1208&gt;0,INT($B1208)&lt;=PlanDate+ROUNDUP(IF(ISNUMBER(SpikeHorizon),SpikeHorizon,INDEX(Buffers!$D:$D,MATCH($H1208,Buffers!$AE:$AE,0))),0),$E1208&gt;=SpikePct*INDEX(Buffers!$P:$P,MATCH($H1208,Buffers!$AE:$AE,0))),"Spike","Not qualified"))))))</f>
        <v/>
      </c>
      <c r="G1208" s="8" t="str">
        <f aca="false">IF($A1208="","",IF(OR($F1208="Past due",$F1208="Due today",$F1208="Spike"),$C1208,0))</f>
        <v/>
      </c>
      <c r="H1208" s="8" t="str">
        <f aca="false">IF($A1208="","",SUBSTITUTE(SUBSTITUTE(SUBSTITUTE($A1208&amp;"","~","~~"),"*","~*"),"?","~?"))</f>
        <v/>
      </c>
    </row>
    <row r="1209" customFormat="false" ht="15" hidden="false" customHeight="false" outlineLevel="0" collapsed="false">
      <c r="A1209" s="11"/>
      <c r="B1209" s="6"/>
      <c r="C1209" s="11"/>
      <c r="D1209" s="11"/>
      <c r="E1209" s="8" t="str">
        <f aca="false">IF($A1209="","",SUMIFS($C:$C,$A:$A,$H1209,$B:$B,"&gt;="&amp;INT($B1209),$B:$B,"&lt;"&amp;(INT($B1209)+1)))</f>
        <v/>
      </c>
      <c r="F1209" s="19" t="str">
        <f aca="false">IF($A1209="","",IF(ISNA(MATCH($H1209,Buffers!$AE:$AE,0)),"Not on Buffers",IF(NOT(ISNUMBER($B1209)),"Needs a date",IF(INT($B1209)&lt;PlanDate,"Past due",IF(INT($B1209)=PlanDate,"Due today",IF(AND(INDEX(Buffers!$L:$L,MATCH($H1209,Buffers!$AE:$AE,0))="Planned",$E1209&gt;0,INT($B1209)&lt;=PlanDate+ROUNDUP(IF(ISNUMBER(SpikeHorizon),SpikeHorizon,INDEX(Buffers!$D:$D,MATCH($H1209,Buffers!$AE:$AE,0))),0),$E1209&gt;=SpikePct*INDEX(Buffers!$P:$P,MATCH($H1209,Buffers!$AE:$AE,0))),"Spike","Not qualified"))))))</f>
        <v/>
      </c>
      <c r="G1209" s="8" t="str">
        <f aca="false">IF($A1209="","",IF(OR($F1209="Past due",$F1209="Due today",$F1209="Spike"),$C1209,0))</f>
        <v/>
      </c>
      <c r="H1209" s="8" t="str">
        <f aca="false">IF($A1209="","",SUBSTITUTE(SUBSTITUTE(SUBSTITUTE($A1209&amp;"","~","~~"),"*","~*"),"?","~?"))</f>
        <v/>
      </c>
    </row>
    <row r="1210" customFormat="false" ht="15" hidden="false" customHeight="false" outlineLevel="0" collapsed="false">
      <c r="A1210" s="11"/>
      <c r="B1210" s="6"/>
      <c r="C1210" s="11"/>
      <c r="D1210" s="11"/>
      <c r="E1210" s="8" t="str">
        <f aca="false">IF($A1210="","",SUMIFS($C:$C,$A:$A,$H1210,$B:$B,"&gt;="&amp;INT($B1210),$B:$B,"&lt;"&amp;(INT($B1210)+1)))</f>
        <v/>
      </c>
      <c r="F1210" s="19" t="str">
        <f aca="false">IF($A1210="","",IF(ISNA(MATCH($H1210,Buffers!$AE:$AE,0)),"Not on Buffers",IF(NOT(ISNUMBER($B1210)),"Needs a date",IF(INT($B1210)&lt;PlanDate,"Past due",IF(INT($B1210)=PlanDate,"Due today",IF(AND(INDEX(Buffers!$L:$L,MATCH($H1210,Buffers!$AE:$AE,0))="Planned",$E1210&gt;0,INT($B1210)&lt;=PlanDate+ROUNDUP(IF(ISNUMBER(SpikeHorizon),SpikeHorizon,INDEX(Buffers!$D:$D,MATCH($H1210,Buffers!$AE:$AE,0))),0),$E1210&gt;=SpikePct*INDEX(Buffers!$P:$P,MATCH($H1210,Buffers!$AE:$AE,0))),"Spike","Not qualified"))))))</f>
        <v/>
      </c>
      <c r="G1210" s="8" t="str">
        <f aca="false">IF($A1210="","",IF(OR($F1210="Past due",$F1210="Due today",$F1210="Spike"),$C1210,0))</f>
        <v/>
      </c>
      <c r="H1210" s="8" t="str">
        <f aca="false">IF($A1210="","",SUBSTITUTE(SUBSTITUTE(SUBSTITUTE($A1210&amp;"","~","~~"),"*","~*"),"?","~?"))</f>
        <v/>
      </c>
    </row>
    <row r="1211" customFormat="false" ht="15" hidden="false" customHeight="false" outlineLevel="0" collapsed="false">
      <c r="A1211" s="11"/>
      <c r="B1211" s="6"/>
      <c r="C1211" s="11"/>
      <c r="D1211" s="11"/>
      <c r="E1211" s="8" t="str">
        <f aca="false">IF($A1211="","",SUMIFS($C:$C,$A:$A,$H1211,$B:$B,"&gt;="&amp;INT($B1211),$B:$B,"&lt;"&amp;(INT($B1211)+1)))</f>
        <v/>
      </c>
      <c r="F1211" s="19" t="str">
        <f aca="false">IF($A1211="","",IF(ISNA(MATCH($H1211,Buffers!$AE:$AE,0)),"Not on Buffers",IF(NOT(ISNUMBER($B1211)),"Needs a date",IF(INT($B1211)&lt;PlanDate,"Past due",IF(INT($B1211)=PlanDate,"Due today",IF(AND(INDEX(Buffers!$L:$L,MATCH($H1211,Buffers!$AE:$AE,0))="Planned",$E1211&gt;0,INT($B1211)&lt;=PlanDate+ROUNDUP(IF(ISNUMBER(SpikeHorizon),SpikeHorizon,INDEX(Buffers!$D:$D,MATCH($H1211,Buffers!$AE:$AE,0))),0),$E1211&gt;=SpikePct*INDEX(Buffers!$P:$P,MATCH($H1211,Buffers!$AE:$AE,0))),"Spike","Not qualified"))))))</f>
        <v/>
      </c>
      <c r="G1211" s="8" t="str">
        <f aca="false">IF($A1211="","",IF(OR($F1211="Past due",$F1211="Due today",$F1211="Spike"),$C1211,0))</f>
        <v/>
      </c>
      <c r="H1211" s="8" t="str">
        <f aca="false">IF($A1211="","",SUBSTITUTE(SUBSTITUTE(SUBSTITUTE($A1211&amp;"","~","~~"),"*","~*"),"?","~?"))</f>
        <v/>
      </c>
    </row>
    <row r="1212" customFormat="false" ht="15" hidden="false" customHeight="false" outlineLevel="0" collapsed="false">
      <c r="A1212" s="11"/>
      <c r="B1212" s="6"/>
      <c r="C1212" s="11"/>
      <c r="D1212" s="11"/>
      <c r="E1212" s="8" t="str">
        <f aca="false">IF($A1212="","",SUMIFS($C:$C,$A:$A,$H1212,$B:$B,"&gt;="&amp;INT($B1212),$B:$B,"&lt;"&amp;(INT($B1212)+1)))</f>
        <v/>
      </c>
      <c r="F1212" s="19" t="str">
        <f aca="false">IF($A1212="","",IF(ISNA(MATCH($H1212,Buffers!$AE:$AE,0)),"Not on Buffers",IF(NOT(ISNUMBER($B1212)),"Needs a date",IF(INT($B1212)&lt;PlanDate,"Past due",IF(INT($B1212)=PlanDate,"Due today",IF(AND(INDEX(Buffers!$L:$L,MATCH($H1212,Buffers!$AE:$AE,0))="Planned",$E1212&gt;0,INT($B1212)&lt;=PlanDate+ROUNDUP(IF(ISNUMBER(SpikeHorizon),SpikeHorizon,INDEX(Buffers!$D:$D,MATCH($H1212,Buffers!$AE:$AE,0))),0),$E1212&gt;=SpikePct*INDEX(Buffers!$P:$P,MATCH($H1212,Buffers!$AE:$AE,0))),"Spike","Not qualified"))))))</f>
        <v/>
      </c>
      <c r="G1212" s="8" t="str">
        <f aca="false">IF($A1212="","",IF(OR($F1212="Past due",$F1212="Due today",$F1212="Spike"),$C1212,0))</f>
        <v/>
      </c>
      <c r="H1212" s="8" t="str">
        <f aca="false">IF($A1212="","",SUBSTITUTE(SUBSTITUTE(SUBSTITUTE($A1212&amp;"","~","~~"),"*","~*"),"?","~?"))</f>
        <v/>
      </c>
    </row>
    <row r="1213" customFormat="false" ht="15" hidden="false" customHeight="false" outlineLevel="0" collapsed="false">
      <c r="A1213" s="11"/>
      <c r="B1213" s="6"/>
      <c r="C1213" s="11"/>
      <c r="D1213" s="11"/>
      <c r="E1213" s="8" t="str">
        <f aca="false">IF($A1213="","",SUMIFS($C:$C,$A:$A,$H1213,$B:$B,"&gt;="&amp;INT($B1213),$B:$B,"&lt;"&amp;(INT($B1213)+1)))</f>
        <v/>
      </c>
      <c r="F1213" s="19" t="str">
        <f aca="false">IF($A1213="","",IF(ISNA(MATCH($H1213,Buffers!$AE:$AE,0)),"Not on Buffers",IF(NOT(ISNUMBER($B1213)),"Needs a date",IF(INT($B1213)&lt;PlanDate,"Past due",IF(INT($B1213)=PlanDate,"Due today",IF(AND(INDEX(Buffers!$L:$L,MATCH($H1213,Buffers!$AE:$AE,0))="Planned",$E1213&gt;0,INT($B1213)&lt;=PlanDate+ROUNDUP(IF(ISNUMBER(SpikeHorizon),SpikeHorizon,INDEX(Buffers!$D:$D,MATCH($H1213,Buffers!$AE:$AE,0))),0),$E1213&gt;=SpikePct*INDEX(Buffers!$P:$P,MATCH($H1213,Buffers!$AE:$AE,0))),"Spike","Not qualified"))))))</f>
        <v/>
      </c>
      <c r="G1213" s="8" t="str">
        <f aca="false">IF($A1213="","",IF(OR($F1213="Past due",$F1213="Due today",$F1213="Spike"),$C1213,0))</f>
        <v/>
      </c>
      <c r="H1213" s="8" t="str">
        <f aca="false">IF($A1213="","",SUBSTITUTE(SUBSTITUTE(SUBSTITUTE($A1213&amp;"","~","~~"),"*","~*"),"?","~?"))</f>
        <v/>
      </c>
    </row>
    <row r="1214" customFormat="false" ht="15" hidden="false" customHeight="false" outlineLevel="0" collapsed="false">
      <c r="A1214" s="11"/>
      <c r="B1214" s="6"/>
      <c r="C1214" s="11"/>
      <c r="D1214" s="11"/>
      <c r="E1214" s="8" t="str">
        <f aca="false">IF($A1214="","",SUMIFS($C:$C,$A:$A,$H1214,$B:$B,"&gt;="&amp;INT($B1214),$B:$B,"&lt;"&amp;(INT($B1214)+1)))</f>
        <v/>
      </c>
      <c r="F1214" s="19" t="str">
        <f aca="false">IF($A1214="","",IF(ISNA(MATCH($H1214,Buffers!$AE:$AE,0)),"Not on Buffers",IF(NOT(ISNUMBER($B1214)),"Needs a date",IF(INT($B1214)&lt;PlanDate,"Past due",IF(INT($B1214)=PlanDate,"Due today",IF(AND(INDEX(Buffers!$L:$L,MATCH($H1214,Buffers!$AE:$AE,0))="Planned",$E1214&gt;0,INT($B1214)&lt;=PlanDate+ROUNDUP(IF(ISNUMBER(SpikeHorizon),SpikeHorizon,INDEX(Buffers!$D:$D,MATCH($H1214,Buffers!$AE:$AE,0))),0),$E1214&gt;=SpikePct*INDEX(Buffers!$P:$P,MATCH($H1214,Buffers!$AE:$AE,0))),"Spike","Not qualified"))))))</f>
        <v/>
      </c>
      <c r="G1214" s="8" t="str">
        <f aca="false">IF($A1214="","",IF(OR($F1214="Past due",$F1214="Due today",$F1214="Spike"),$C1214,0))</f>
        <v/>
      </c>
      <c r="H1214" s="8" t="str">
        <f aca="false">IF($A1214="","",SUBSTITUTE(SUBSTITUTE(SUBSTITUTE($A1214&amp;"","~","~~"),"*","~*"),"?","~?"))</f>
        <v/>
      </c>
    </row>
    <row r="1215" customFormat="false" ht="15" hidden="false" customHeight="false" outlineLevel="0" collapsed="false">
      <c r="A1215" s="11"/>
      <c r="B1215" s="6"/>
      <c r="C1215" s="11"/>
      <c r="D1215" s="11"/>
      <c r="E1215" s="8" t="str">
        <f aca="false">IF($A1215="","",SUMIFS($C:$C,$A:$A,$H1215,$B:$B,"&gt;="&amp;INT($B1215),$B:$B,"&lt;"&amp;(INT($B1215)+1)))</f>
        <v/>
      </c>
      <c r="F1215" s="19" t="str">
        <f aca="false">IF($A1215="","",IF(ISNA(MATCH($H1215,Buffers!$AE:$AE,0)),"Not on Buffers",IF(NOT(ISNUMBER($B1215)),"Needs a date",IF(INT($B1215)&lt;PlanDate,"Past due",IF(INT($B1215)=PlanDate,"Due today",IF(AND(INDEX(Buffers!$L:$L,MATCH($H1215,Buffers!$AE:$AE,0))="Planned",$E1215&gt;0,INT($B1215)&lt;=PlanDate+ROUNDUP(IF(ISNUMBER(SpikeHorizon),SpikeHorizon,INDEX(Buffers!$D:$D,MATCH($H1215,Buffers!$AE:$AE,0))),0),$E1215&gt;=SpikePct*INDEX(Buffers!$P:$P,MATCH($H1215,Buffers!$AE:$AE,0))),"Spike","Not qualified"))))))</f>
        <v/>
      </c>
      <c r="G1215" s="8" t="str">
        <f aca="false">IF($A1215="","",IF(OR($F1215="Past due",$F1215="Due today",$F1215="Spike"),$C1215,0))</f>
        <v/>
      </c>
      <c r="H1215" s="8" t="str">
        <f aca="false">IF($A1215="","",SUBSTITUTE(SUBSTITUTE(SUBSTITUTE($A1215&amp;"","~","~~"),"*","~*"),"?","~?"))</f>
        <v/>
      </c>
    </row>
    <row r="1216" customFormat="false" ht="15" hidden="false" customHeight="false" outlineLevel="0" collapsed="false">
      <c r="A1216" s="11"/>
      <c r="B1216" s="6"/>
      <c r="C1216" s="11"/>
      <c r="D1216" s="11"/>
      <c r="E1216" s="8" t="str">
        <f aca="false">IF($A1216="","",SUMIFS($C:$C,$A:$A,$H1216,$B:$B,"&gt;="&amp;INT($B1216),$B:$B,"&lt;"&amp;(INT($B1216)+1)))</f>
        <v/>
      </c>
      <c r="F1216" s="19" t="str">
        <f aca="false">IF($A1216="","",IF(ISNA(MATCH($H1216,Buffers!$AE:$AE,0)),"Not on Buffers",IF(NOT(ISNUMBER($B1216)),"Needs a date",IF(INT($B1216)&lt;PlanDate,"Past due",IF(INT($B1216)=PlanDate,"Due today",IF(AND(INDEX(Buffers!$L:$L,MATCH($H1216,Buffers!$AE:$AE,0))="Planned",$E1216&gt;0,INT($B1216)&lt;=PlanDate+ROUNDUP(IF(ISNUMBER(SpikeHorizon),SpikeHorizon,INDEX(Buffers!$D:$D,MATCH($H1216,Buffers!$AE:$AE,0))),0),$E1216&gt;=SpikePct*INDEX(Buffers!$P:$P,MATCH($H1216,Buffers!$AE:$AE,0))),"Spike","Not qualified"))))))</f>
        <v/>
      </c>
      <c r="G1216" s="8" t="str">
        <f aca="false">IF($A1216="","",IF(OR($F1216="Past due",$F1216="Due today",$F1216="Spike"),$C1216,0))</f>
        <v/>
      </c>
      <c r="H1216" s="8" t="str">
        <f aca="false">IF($A1216="","",SUBSTITUTE(SUBSTITUTE(SUBSTITUTE($A1216&amp;"","~","~~"),"*","~*"),"?","~?"))</f>
        <v/>
      </c>
    </row>
    <row r="1217" customFormat="false" ht="15" hidden="false" customHeight="false" outlineLevel="0" collapsed="false">
      <c r="A1217" s="11"/>
      <c r="B1217" s="6"/>
      <c r="C1217" s="11"/>
      <c r="D1217" s="11"/>
      <c r="E1217" s="8" t="str">
        <f aca="false">IF($A1217="","",SUMIFS($C:$C,$A:$A,$H1217,$B:$B,"&gt;="&amp;INT($B1217),$B:$B,"&lt;"&amp;(INT($B1217)+1)))</f>
        <v/>
      </c>
      <c r="F1217" s="19" t="str">
        <f aca="false">IF($A1217="","",IF(ISNA(MATCH($H1217,Buffers!$AE:$AE,0)),"Not on Buffers",IF(NOT(ISNUMBER($B1217)),"Needs a date",IF(INT($B1217)&lt;PlanDate,"Past due",IF(INT($B1217)=PlanDate,"Due today",IF(AND(INDEX(Buffers!$L:$L,MATCH($H1217,Buffers!$AE:$AE,0))="Planned",$E1217&gt;0,INT($B1217)&lt;=PlanDate+ROUNDUP(IF(ISNUMBER(SpikeHorizon),SpikeHorizon,INDEX(Buffers!$D:$D,MATCH($H1217,Buffers!$AE:$AE,0))),0),$E1217&gt;=SpikePct*INDEX(Buffers!$P:$P,MATCH($H1217,Buffers!$AE:$AE,0))),"Spike","Not qualified"))))))</f>
        <v/>
      </c>
      <c r="G1217" s="8" t="str">
        <f aca="false">IF($A1217="","",IF(OR($F1217="Past due",$F1217="Due today",$F1217="Spike"),$C1217,0))</f>
        <v/>
      </c>
      <c r="H1217" s="8" t="str">
        <f aca="false">IF($A1217="","",SUBSTITUTE(SUBSTITUTE(SUBSTITUTE($A1217&amp;"","~","~~"),"*","~*"),"?","~?"))</f>
        <v/>
      </c>
    </row>
    <row r="1218" customFormat="false" ht="15" hidden="false" customHeight="false" outlineLevel="0" collapsed="false">
      <c r="A1218" s="11"/>
      <c r="B1218" s="6"/>
      <c r="C1218" s="11"/>
      <c r="D1218" s="11"/>
      <c r="E1218" s="8" t="str">
        <f aca="false">IF($A1218="","",SUMIFS($C:$C,$A:$A,$H1218,$B:$B,"&gt;="&amp;INT($B1218),$B:$B,"&lt;"&amp;(INT($B1218)+1)))</f>
        <v/>
      </c>
      <c r="F1218" s="19" t="str">
        <f aca="false">IF($A1218="","",IF(ISNA(MATCH($H1218,Buffers!$AE:$AE,0)),"Not on Buffers",IF(NOT(ISNUMBER($B1218)),"Needs a date",IF(INT($B1218)&lt;PlanDate,"Past due",IF(INT($B1218)=PlanDate,"Due today",IF(AND(INDEX(Buffers!$L:$L,MATCH($H1218,Buffers!$AE:$AE,0))="Planned",$E1218&gt;0,INT($B1218)&lt;=PlanDate+ROUNDUP(IF(ISNUMBER(SpikeHorizon),SpikeHorizon,INDEX(Buffers!$D:$D,MATCH($H1218,Buffers!$AE:$AE,0))),0),$E1218&gt;=SpikePct*INDEX(Buffers!$P:$P,MATCH($H1218,Buffers!$AE:$AE,0))),"Spike","Not qualified"))))))</f>
        <v/>
      </c>
      <c r="G1218" s="8" t="str">
        <f aca="false">IF($A1218="","",IF(OR($F1218="Past due",$F1218="Due today",$F1218="Spike"),$C1218,0))</f>
        <v/>
      </c>
      <c r="H1218" s="8" t="str">
        <f aca="false">IF($A1218="","",SUBSTITUTE(SUBSTITUTE(SUBSTITUTE($A1218&amp;"","~","~~"),"*","~*"),"?","~?"))</f>
        <v/>
      </c>
    </row>
    <row r="1219" customFormat="false" ht="15" hidden="false" customHeight="false" outlineLevel="0" collapsed="false">
      <c r="A1219" s="11"/>
      <c r="B1219" s="6"/>
      <c r="C1219" s="11"/>
      <c r="D1219" s="11"/>
      <c r="E1219" s="8" t="str">
        <f aca="false">IF($A1219="","",SUMIFS($C:$C,$A:$A,$H1219,$B:$B,"&gt;="&amp;INT($B1219),$B:$B,"&lt;"&amp;(INT($B1219)+1)))</f>
        <v/>
      </c>
      <c r="F1219" s="19" t="str">
        <f aca="false">IF($A1219="","",IF(ISNA(MATCH($H1219,Buffers!$AE:$AE,0)),"Not on Buffers",IF(NOT(ISNUMBER($B1219)),"Needs a date",IF(INT($B1219)&lt;PlanDate,"Past due",IF(INT($B1219)=PlanDate,"Due today",IF(AND(INDEX(Buffers!$L:$L,MATCH($H1219,Buffers!$AE:$AE,0))="Planned",$E1219&gt;0,INT($B1219)&lt;=PlanDate+ROUNDUP(IF(ISNUMBER(SpikeHorizon),SpikeHorizon,INDEX(Buffers!$D:$D,MATCH($H1219,Buffers!$AE:$AE,0))),0),$E1219&gt;=SpikePct*INDEX(Buffers!$P:$P,MATCH($H1219,Buffers!$AE:$AE,0))),"Spike","Not qualified"))))))</f>
        <v/>
      </c>
      <c r="G1219" s="8" t="str">
        <f aca="false">IF($A1219="","",IF(OR($F1219="Past due",$F1219="Due today",$F1219="Spike"),$C1219,0))</f>
        <v/>
      </c>
      <c r="H1219" s="8" t="str">
        <f aca="false">IF($A1219="","",SUBSTITUTE(SUBSTITUTE(SUBSTITUTE($A1219&amp;"","~","~~"),"*","~*"),"?","~?"))</f>
        <v/>
      </c>
    </row>
    <row r="1220" customFormat="false" ht="15" hidden="false" customHeight="false" outlineLevel="0" collapsed="false">
      <c r="A1220" s="11"/>
      <c r="B1220" s="6"/>
      <c r="C1220" s="11"/>
      <c r="D1220" s="11"/>
      <c r="E1220" s="8" t="str">
        <f aca="false">IF($A1220="","",SUMIFS($C:$C,$A:$A,$H1220,$B:$B,"&gt;="&amp;INT($B1220),$B:$B,"&lt;"&amp;(INT($B1220)+1)))</f>
        <v/>
      </c>
      <c r="F1220" s="19" t="str">
        <f aca="false">IF($A1220="","",IF(ISNA(MATCH($H1220,Buffers!$AE:$AE,0)),"Not on Buffers",IF(NOT(ISNUMBER($B1220)),"Needs a date",IF(INT($B1220)&lt;PlanDate,"Past due",IF(INT($B1220)=PlanDate,"Due today",IF(AND(INDEX(Buffers!$L:$L,MATCH($H1220,Buffers!$AE:$AE,0))="Planned",$E1220&gt;0,INT($B1220)&lt;=PlanDate+ROUNDUP(IF(ISNUMBER(SpikeHorizon),SpikeHorizon,INDEX(Buffers!$D:$D,MATCH($H1220,Buffers!$AE:$AE,0))),0),$E1220&gt;=SpikePct*INDEX(Buffers!$P:$P,MATCH($H1220,Buffers!$AE:$AE,0))),"Spike","Not qualified"))))))</f>
        <v/>
      </c>
      <c r="G1220" s="8" t="str">
        <f aca="false">IF($A1220="","",IF(OR($F1220="Past due",$F1220="Due today",$F1220="Spike"),$C1220,0))</f>
        <v/>
      </c>
      <c r="H1220" s="8" t="str">
        <f aca="false">IF($A1220="","",SUBSTITUTE(SUBSTITUTE(SUBSTITUTE($A1220&amp;"","~","~~"),"*","~*"),"?","~?"))</f>
        <v/>
      </c>
    </row>
    <row r="1221" customFormat="false" ht="15" hidden="false" customHeight="false" outlineLevel="0" collapsed="false">
      <c r="A1221" s="11"/>
      <c r="B1221" s="6"/>
      <c r="C1221" s="11"/>
      <c r="D1221" s="11"/>
      <c r="E1221" s="8" t="str">
        <f aca="false">IF($A1221="","",SUMIFS($C:$C,$A:$A,$H1221,$B:$B,"&gt;="&amp;INT($B1221),$B:$B,"&lt;"&amp;(INT($B1221)+1)))</f>
        <v/>
      </c>
      <c r="F1221" s="19" t="str">
        <f aca="false">IF($A1221="","",IF(ISNA(MATCH($H1221,Buffers!$AE:$AE,0)),"Not on Buffers",IF(NOT(ISNUMBER($B1221)),"Needs a date",IF(INT($B1221)&lt;PlanDate,"Past due",IF(INT($B1221)=PlanDate,"Due today",IF(AND(INDEX(Buffers!$L:$L,MATCH($H1221,Buffers!$AE:$AE,0))="Planned",$E1221&gt;0,INT($B1221)&lt;=PlanDate+ROUNDUP(IF(ISNUMBER(SpikeHorizon),SpikeHorizon,INDEX(Buffers!$D:$D,MATCH($H1221,Buffers!$AE:$AE,0))),0),$E1221&gt;=SpikePct*INDEX(Buffers!$P:$P,MATCH($H1221,Buffers!$AE:$AE,0))),"Spike","Not qualified"))))))</f>
        <v/>
      </c>
      <c r="G1221" s="8" t="str">
        <f aca="false">IF($A1221="","",IF(OR($F1221="Past due",$F1221="Due today",$F1221="Spike"),$C1221,0))</f>
        <v/>
      </c>
      <c r="H1221" s="8" t="str">
        <f aca="false">IF($A1221="","",SUBSTITUTE(SUBSTITUTE(SUBSTITUTE($A1221&amp;"","~","~~"),"*","~*"),"?","~?"))</f>
        <v/>
      </c>
    </row>
    <row r="1222" customFormat="false" ht="15" hidden="false" customHeight="false" outlineLevel="0" collapsed="false">
      <c r="A1222" s="11"/>
      <c r="B1222" s="6"/>
      <c r="C1222" s="11"/>
      <c r="D1222" s="11"/>
      <c r="E1222" s="8" t="str">
        <f aca="false">IF($A1222="","",SUMIFS($C:$C,$A:$A,$H1222,$B:$B,"&gt;="&amp;INT($B1222),$B:$B,"&lt;"&amp;(INT($B1222)+1)))</f>
        <v/>
      </c>
      <c r="F1222" s="19" t="str">
        <f aca="false">IF($A1222="","",IF(ISNA(MATCH($H1222,Buffers!$AE:$AE,0)),"Not on Buffers",IF(NOT(ISNUMBER($B1222)),"Needs a date",IF(INT($B1222)&lt;PlanDate,"Past due",IF(INT($B1222)=PlanDate,"Due today",IF(AND(INDEX(Buffers!$L:$L,MATCH($H1222,Buffers!$AE:$AE,0))="Planned",$E1222&gt;0,INT($B1222)&lt;=PlanDate+ROUNDUP(IF(ISNUMBER(SpikeHorizon),SpikeHorizon,INDEX(Buffers!$D:$D,MATCH($H1222,Buffers!$AE:$AE,0))),0),$E1222&gt;=SpikePct*INDEX(Buffers!$P:$P,MATCH($H1222,Buffers!$AE:$AE,0))),"Spike","Not qualified"))))))</f>
        <v/>
      </c>
      <c r="G1222" s="8" t="str">
        <f aca="false">IF($A1222="","",IF(OR($F1222="Past due",$F1222="Due today",$F1222="Spike"),$C1222,0))</f>
        <v/>
      </c>
      <c r="H1222" s="8" t="str">
        <f aca="false">IF($A1222="","",SUBSTITUTE(SUBSTITUTE(SUBSTITUTE($A1222&amp;"","~","~~"),"*","~*"),"?","~?"))</f>
        <v/>
      </c>
    </row>
    <row r="1223" customFormat="false" ht="15" hidden="false" customHeight="false" outlineLevel="0" collapsed="false">
      <c r="A1223" s="11"/>
      <c r="B1223" s="6"/>
      <c r="C1223" s="11"/>
      <c r="D1223" s="11"/>
      <c r="E1223" s="8" t="str">
        <f aca="false">IF($A1223="","",SUMIFS($C:$C,$A:$A,$H1223,$B:$B,"&gt;="&amp;INT($B1223),$B:$B,"&lt;"&amp;(INT($B1223)+1)))</f>
        <v/>
      </c>
      <c r="F1223" s="19" t="str">
        <f aca="false">IF($A1223="","",IF(ISNA(MATCH($H1223,Buffers!$AE:$AE,0)),"Not on Buffers",IF(NOT(ISNUMBER($B1223)),"Needs a date",IF(INT($B1223)&lt;PlanDate,"Past due",IF(INT($B1223)=PlanDate,"Due today",IF(AND(INDEX(Buffers!$L:$L,MATCH($H1223,Buffers!$AE:$AE,0))="Planned",$E1223&gt;0,INT($B1223)&lt;=PlanDate+ROUNDUP(IF(ISNUMBER(SpikeHorizon),SpikeHorizon,INDEX(Buffers!$D:$D,MATCH($H1223,Buffers!$AE:$AE,0))),0),$E1223&gt;=SpikePct*INDEX(Buffers!$P:$P,MATCH($H1223,Buffers!$AE:$AE,0))),"Spike","Not qualified"))))))</f>
        <v/>
      </c>
      <c r="G1223" s="8" t="str">
        <f aca="false">IF($A1223="","",IF(OR($F1223="Past due",$F1223="Due today",$F1223="Spike"),$C1223,0))</f>
        <v/>
      </c>
      <c r="H1223" s="8" t="str">
        <f aca="false">IF($A1223="","",SUBSTITUTE(SUBSTITUTE(SUBSTITUTE($A1223&amp;"","~","~~"),"*","~*"),"?","~?"))</f>
        <v/>
      </c>
    </row>
    <row r="1224" customFormat="false" ht="15" hidden="false" customHeight="false" outlineLevel="0" collapsed="false">
      <c r="A1224" s="11"/>
      <c r="B1224" s="6"/>
      <c r="C1224" s="11"/>
      <c r="D1224" s="11"/>
      <c r="E1224" s="8" t="str">
        <f aca="false">IF($A1224="","",SUMIFS($C:$C,$A:$A,$H1224,$B:$B,"&gt;="&amp;INT($B1224),$B:$B,"&lt;"&amp;(INT($B1224)+1)))</f>
        <v/>
      </c>
      <c r="F1224" s="19" t="str">
        <f aca="false">IF($A1224="","",IF(ISNA(MATCH($H1224,Buffers!$AE:$AE,0)),"Not on Buffers",IF(NOT(ISNUMBER($B1224)),"Needs a date",IF(INT($B1224)&lt;PlanDate,"Past due",IF(INT($B1224)=PlanDate,"Due today",IF(AND(INDEX(Buffers!$L:$L,MATCH($H1224,Buffers!$AE:$AE,0))="Planned",$E1224&gt;0,INT($B1224)&lt;=PlanDate+ROUNDUP(IF(ISNUMBER(SpikeHorizon),SpikeHorizon,INDEX(Buffers!$D:$D,MATCH($H1224,Buffers!$AE:$AE,0))),0),$E1224&gt;=SpikePct*INDEX(Buffers!$P:$P,MATCH($H1224,Buffers!$AE:$AE,0))),"Spike","Not qualified"))))))</f>
        <v/>
      </c>
      <c r="G1224" s="8" t="str">
        <f aca="false">IF($A1224="","",IF(OR($F1224="Past due",$F1224="Due today",$F1224="Spike"),$C1224,0))</f>
        <v/>
      </c>
      <c r="H1224" s="8" t="str">
        <f aca="false">IF($A1224="","",SUBSTITUTE(SUBSTITUTE(SUBSTITUTE($A1224&amp;"","~","~~"),"*","~*"),"?","~?"))</f>
        <v/>
      </c>
    </row>
    <row r="1225" customFormat="false" ht="15" hidden="false" customHeight="false" outlineLevel="0" collapsed="false">
      <c r="A1225" s="11"/>
      <c r="B1225" s="6"/>
      <c r="C1225" s="11"/>
      <c r="D1225" s="11"/>
      <c r="E1225" s="8" t="str">
        <f aca="false">IF($A1225="","",SUMIFS($C:$C,$A:$A,$H1225,$B:$B,"&gt;="&amp;INT($B1225),$B:$B,"&lt;"&amp;(INT($B1225)+1)))</f>
        <v/>
      </c>
      <c r="F1225" s="19" t="str">
        <f aca="false">IF($A1225="","",IF(ISNA(MATCH($H1225,Buffers!$AE:$AE,0)),"Not on Buffers",IF(NOT(ISNUMBER($B1225)),"Needs a date",IF(INT($B1225)&lt;PlanDate,"Past due",IF(INT($B1225)=PlanDate,"Due today",IF(AND(INDEX(Buffers!$L:$L,MATCH($H1225,Buffers!$AE:$AE,0))="Planned",$E1225&gt;0,INT($B1225)&lt;=PlanDate+ROUNDUP(IF(ISNUMBER(SpikeHorizon),SpikeHorizon,INDEX(Buffers!$D:$D,MATCH($H1225,Buffers!$AE:$AE,0))),0),$E1225&gt;=SpikePct*INDEX(Buffers!$P:$P,MATCH($H1225,Buffers!$AE:$AE,0))),"Spike","Not qualified"))))))</f>
        <v/>
      </c>
      <c r="G1225" s="8" t="str">
        <f aca="false">IF($A1225="","",IF(OR($F1225="Past due",$F1225="Due today",$F1225="Spike"),$C1225,0))</f>
        <v/>
      </c>
      <c r="H1225" s="8" t="str">
        <f aca="false">IF($A1225="","",SUBSTITUTE(SUBSTITUTE(SUBSTITUTE($A1225&amp;"","~","~~"),"*","~*"),"?","~?"))</f>
        <v/>
      </c>
    </row>
    <row r="1226" customFormat="false" ht="15" hidden="false" customHeight="false" outlineLevel="0" collapsed="false">
      <c r="A1226" s="11"/>
      <c r="B1226" s="6"/>
      <c r="C1226" s="11"/>
      <c r="D1226" s="11"/>
      <c r="E1226" s="8" t="str">
        <f aca="false">IF($A1226="","",SUMIFS($C:$C,$A:$A,$H1226,$B:$B,"&gt;="&amp;INT($B1226),$B:$B,"&lt;"&amp;(INT($B1226)+1)))</f>
        <v/>
      </c>
      <c r="F1226" s="19" t="str">
        <f aca="false">IF($A1226="","",IF(ISNA(MATCH($H1226,Buffers!$AE:$AE,0)),"Not on Buffers",IF(NOT(ISNUMBER($B1226)),"Needs a date",IF(INT($B1226)&lt;PlanDate,"Past due",IF(INT($B1226)=PlanDate,"Due today",IF(AND(INDEX(Buffers!$L:$L,MATCH($H1226,Buffers!$AE:$AE,0))="Planned",$E1226&gt;0,INT($B1226)&lt;=PlanDate+ROUNDUP(IF(ISNUMBER(SpikeHorizon),SpikeHorizon,INDEX(Buffers!$D:$D,MATCH($H1226,Buffers!$AE:$AE,0))),0),$E1226&gt;=SpikePct*INDEX(Buffers!$P:$P,MATCH($H1226,Buffers!$AE:$AE,0))),"Spike","Not qualified"))))))</f>
        <v/>
      </c>
      <c r="G1226" s="8" t="str">
        <f aca="false">IF($A1226="","",IF(OR($F1226="Past due",$F1226="Due today",$F1226="Spike"),$C1226,0))</f>
        <v/>
      </c>
      <c r="H1226" s="8" t="str">
        <f aca="false">IF($A1226="","",SUBSTITUTE(SUBSTITUTE(SUBSTITUTE($A1226&amp;"","~","~~"),"*","~*"),"?","~?"))</f>
        <v/>
      </c>
    </row>
    <row r="1227" customFormat="false" ht="15" hidden="false" customHeight="false" outlineLevel="0" collapsed="false">
      <c r="A1227" s="11"/>
      <c r="B1227" s="6"/>
      <c r="C1227" s="11"/>
      <c r="D1227" s="11"/>
      <c r="E1227" s="8" t="str">
        <f aca="false">IF($A1227="","",SUMIFS($C:$C,$A:$A,$H1227,$B:$B,"&gt;="&amp;INT($B1227),$B:$B,"&lt;"&amp;(INT($B1227)+1)))</f>
        <v/>
      </c>
      <c r="F1227" s="19" t="str">
        <f aca="false">IF($A1227="","",IF(ISNA(MATCH($H1227,Buffers!$AE:$AE,0)),"Not on Buffers",IF(NOT(ISNUMBER($B1227)),"Needs a date",IF(INT($B1227)&lt;PlanDate,"Past due",IF(INT($B1227)=PlanDate,"Due today",IF(AND(INDEX(Buffers!$L:$L,MATCH($H1227,Buffers!$AE:$AE,0))="Planned",$E1227&gt;0,INT($B1227)&lt;=PlanDate+ROUNDUP(IF(ISNUMBER(SpikeHorizon),SpikeHorizon,INDEX(Buffers!$D:$D,MATCH($H1227,Buffers!$AE:$AE,0))),0),$E1227&gt;=SpikePct*INDEX(Buffers!$P:$P,MATCH($H1227,Buffers!$AE:$AE,0))),"Spike","Not qualified"))))))</f>
        <v/>
      </c>
      <c r="G1227" s="8" t="str">
        <f aca="false">IF($A1227="","",IF(OR($F1227="Past due",$F1227="Due today",$F1227="Spike"),$C1227,0))</f>
        <v/>
      </c>
      <c r="H1227" s="8" t="str">
        <f aca="false">IF($A1227="","",SUBSTITUTE(SUBSTITUTE(SUBSTITUTE($A1227&amp;"","~","~~"),"*","~*"),"?","~?"))</f>
        <v/>
      </c>
    </row>
    <row r="1228" customFormat="false" ht="15" hidden="false" customHeight="false" outlineLevel="0" collapsed="false">
      <c r="A1228" s="11"/>
      <c r="B1228" s="6"/>
      <c r="C1228" s="11"/>
      <c r="D1228" s="11"/>
      <c r="E1228" s="8" t="str">
        <f aca="false">IF($A1228="","",SUMIFS($C:$C,$A:$A,$H1228,$B:$B,"&gt;="&amp;INT($B1228),$B:$B,"&lt;"&amp;(INT($B1228)+1)))</f>
        <v/>
      </c>
      <c r="F1228" s="19" t="str">
        <f aca="false">IF($A1228="","",IF(ISNA(MATCH($H1228,Buffers!$AE:$AE,0)),"Not on Buffers",IF(NOT(ISNUMBER($B1228)),"Needs a date",IF(INT($B1228)&lt;PlanDate,"Past due",IF(INT($B1228)=PlanDate,"Due today",IF(AND(INDEX(Buffers!$L:$L,MATCH($H1228,Buffers!$AE:$AE,0))="Planned",$E1228&gt;0,INT($B1228)&lt;=PlanDate+ROUNDUP(IF(ISNUMBER(SpikeHorizon),SpikeHorizon,INDEX(Buffers!$D:$D,MATCH($H1228,Buffers!$AE:$AE,0))),0),$E1228&gt;=SpikePct*INDEX(Buffers!$P:$P,MATCH($H1228,Buffers!$AE:$AE,0))),"Spike","Not qualified"))))))</f>
        <v/>
      </c>
      <c r="G1228" s="8" t="str">
        <f aca="false">IF($A1228="","",IF(OR($F1228="Past due",$F1228="Due today",$F1228="Spike"),$C1228,0))</f>
        <v/>
      </c>
      <c r="H1228" s="8" t="str">
        <f aca="false">IF($A1228="","",SUBSTITUTE(SUBSTITUTE(SUBSTITUTE($A1228&amp;"","~","~~"),"*","~*"),"?","~?"))</f>
        <v/>
      </c>
    </row>
    <row r="1229" customFormat="false" ht="15" hidden="false" customHeight="false" outlineLevel="0" collapsed="false">
      <c r="A1229" s="11"/>
      <c r="B1229" s="6"/>
      <c r="C1229" s="11"/>
      <c r="D1229" s="11"/>
      <c r="E1229" s="8" t="str">
        <f aca="false">IF($A1229="","",SUMIFS($C:$C,$A:$A,$H1229,$B:$B,"&gt;="&amp;INT($B1229),$B:$B,"&lt;"&amp;(INT($B1229)+1)))</f>
        <v/>
      </c>
      <c r="F1229" s="19" t="str">
        <f aca="false">IF($A1229="","",IF(ISNA(MATCH($H1229,Buffers!$AE:$AE,0)),"Not on Buffers",IF(NOT(ISNUMBER($B1229)),"Needs a date",IF(INT($B1229)&lt;PlanDate,"Past due",IF(INT($B1229)=PlanDate,"Due today",IF(AND(INDEX(Buffers!$L:$L,MATCH($H1229,Buffers!$AE:$AE,0))="Planned",$E1229&gt;0,INT($B1229)&lt;=PlanDate+ROUNDUP(IF(ISNUMBER(SpikeHorizon),SpikeHorizon,INDEX(Buffers!$D:$D,MATCH($H1229,Buffers!$AE:$AE,0))),0),$E1229&gt;=SpikePct*INDEX(Buffers!$P:$P,MATCH($H1229,Buffers!$AE:$AE,0))),"Spike","Not qualified"))))))</f>
        <v/>
      </c>
      <c r="G1229" s="8" t="str">
        <f aca="false">IF($A1229="","",IF(OR($F1229="Past due",$F1229="Due today",$F1229="Spike"),$C1229,0))</f>
        <v/>
      </c>
      <c r="H1229" s="8" t="str">
        <f aca="false">IF($A1229="","",SUBSTITUTE(SUBSTITUTE(SUBSTITUTE($A1229&amp;"","~","~~"),"*","~*"),"?","~?"))</f>
        <v/>
      </c>
    </row>
    <row r="1230" customFormat="false" ht="15" hidden="false" customHeight="false" outlineLevel="0" collapsed="false">
      <c r="A1230" s="11"/>
      <c r="B1230" s="6"/>
      <c r="C1230" s="11"/>
      <c r="D1230" s="11"/>
      <c r="E1230" s="8" t="str">
        <f aca="false">IF($A1230="","",SUMIFS($C:$C,$A:$A,$H1230,$B:$B,"&gt;="&amp;INT($B1230),$B:$B,"&lt;"&amp;(INT($B1230)+1)))</f>
        <v/>
      </c>
      <c r="F1230" s="19" t="str">
        <f aca="false">IF($A1230="","",IF(ISNA(MATCH($H1230,Buffers!$AE:$AE,0)),"Not on Buffers",IF(NOT(ISNUMBER($B1230)),"Needs a date",IF(INT($B1230)&lt;PlanDate,"Past due",IF(INT($B1230)=PlanDate,"Due today",IF(AND(INDEX(Buffers!$L:$L,MATCH($H1230,Buffers!$AE:$AE,0))="Planned",$E1230&gt;0,INT($B1230)&lt;=PlanDate+ROUNDUP(IF(ISNUMBER(SpikeHorizon),SpikeHorizon,INDEX(Buffers!$D:$D,MATCH($H1230,Buffers!$AE:$AE,0))),0),$E1230&gt;=SpikePct*INDEX(Buffers!$P:$P,MATCH($H1230,Buffers!$AE:$AE,0))),"Spike","Not qualified"))))))</f>
        <v/>
      </c>
      <c r="G1230" s="8" t="str">
        <f aca="false">IF($A1230="","",IF(OR($F1230="Past due",$F1230="Due today",$F1230="Spike"),$C1230,0))</f>
        <v/>
      </c>
      <c r="H1230" s="8" t="str">
        <f aca="false">IF($A1230="","",SUBSTITUTE(SUBSTITUTE(SUBSTITUTE($A1230&amp;"","~","~~"),"*","~*"),"?","~?"))</f>
        <v/>
      </c>
    </row>
    <row r="1231" customFormat="false" ht="15" hidden="false" customHeight="false" outlineLevel="0" collapsed="false">
      <c r="A1231" s="11"/>
      <c r="B1231" s="6"/>
      <c r="C1231" s="11"/>
      <c r="D1231" s="11"/>
      <c r="E1231" s="8" t="str">
        <f aca="false">IF($A1231="","",SUMIFS($C:$C,$A:$A,$H1231,$B:$B,"&gt;="&amp;INT($B1231),$B:$B,"&lt;"&amp;(INT($B1231)+1)))</f>
        <v/>
      </c>
      <c r="F1231" s="19" t="str">
        <f aca="false">IF($A1231="","",IF(ISNA(MATCH($H1231,Buffers!$AE:$AE,0)),"Not on Buffers",IF(NOT(ISNUMBER($B1231)),"Needs a date",IF(INT($B1231)&lt;PlanDate,"Past due",IF(INT($B1231)=PlanDate,"Due today",IF(AND(INDEX(Buffers!$L:$L,MATCH($H1231,Buffers!$AE:$AE,0))="Planned",$E1231&gt;0,INT($B1231)&lt;=PlanDate+ROUNDUP(IF(ISNUMBER(SpikeHorizon),SpikeHorizon,INDEX(Buffers!$D:$D,MATCH($H1231,Buffers!$AE:$AE,0))),0),$E1231&gt;=SpikePct*INDEX(Buffers!$P:$P,MATCH($H1231,Buffers!$AE:$AE,0))),"Spike","Not qualified"))))))</f>
        <v/>
      </c>
      <c r="G1231" s="8" t="str">
        <f aca="false">IF($A1231="","",IF(OR($F1231="Past due",$F1231="Due today",$F1231="Spike"),$C1231,0))</f>
        <v/>
      </c>
      <c r="H1231" s="8" t="str">
        <f aca="false">IF($A1231="","",SUBSTITUTE(SUBSTITUTE(SUBSTITUTE($A1231&amp;"","~","~~"),"*","~*"),"?","~?"))</f>
        <v/>
      </c>
    </row>
    <row r="1232" customFormat="false" ht="15" hidden="false" customHeight="false" outlineLevel="0" collapsed="false">
      <c r="A1232" s="11"/>
      <c r="B1232" s="6"/>
      <c r="C1232" s="11"/>
      <c r="D1232" s="11"/>
      <c r="E1232" s="8" t="str">
        <f aca="false">IF($A1232="","",SUMIFS($C:$C,$A:$A,$H1232,$B:$B,"&gt;="&amp;INT($B1232),$B:$B,"&lt;"&amp;(INT($B1232)+1)))</f>
        <v/>
      </c>
      <c r="F1232" s="19" t="str">
        <f aca="false">IF($A1232="","",IF(ISNA(MATCH($H1232,Buffers!$AE:$AE,0)),"Not on Buffers",IF(NOT(ISNUMBER($B1232)),"Needs a date",IF(INT($B1232)&lt;PlanDate,"Past due",IF(INT($B1232)=PlanDate,"Due today",IF(AND(INDEX(Buffers!$L:$L,MATCH($H1232,Buffers!$AE:$AE,0))="Planned",$E1232&gt;0,INT($B1232)&lt;=PlanDate+ROUNDUP(IF(ISNUMBER(SpikeHorizon),SpikeHorizon,INDEX(Buffers!$D:$D,MATCH($H1232,Buffers!$AE:$AE,0))),0),$E1232&gt;=SpikePct*INDEX(Buffers!$P:$P,MATCH($H1232,Buffers!$AE:$AE,0))),"Spike","Not qualified"))))))</f>
        <v/>
      </c>
      <c r="G1232" s="8" t="str">
        <f aca="false">IF($A1232="","",IF(OR($F1232="Past due",$F1232="Due today",$F1232="Spike"),$C1232,0))</f>
        <v/>
      </c>
      <c r="H1232" s="8" t="str">
        <f aca="false">IF($A1232="","",SUBSTITUTE(SUBSTITUTE(SUBSTITUTE($A1232&amp;"","~","~~"),"*","~*"),"?","~?"))</f>
        <v/>
      </c>
    </row>
    <row r="1233" customFormat="false" ht="15" hidden="false" customHeight="false" outlineLevel="0" collapsed="false">
      <c r="A1233" s="11"/>
      <c r="B1233" s="6"/>
      <c r="C1233" s="11"/>
      <c r="D1233" s="11"/>
      <c r="E1233" s="8" t="str">
        <f aca="false">IF($A1233="","",SUMIFS($C:$C,$A:$A,$H1233,$B:$B,"&gt;="&amp;INT($B1233),$B:$B,"&lt;"&amp;(INT($B1233)+1)))</f>
        <v/>
      </c>
      <c r="F1233" s="19" t="str">
        <f aca="false">IF($A1233="","",IF(ISNA(MATCH($H1233,Buffers!$AE:$AE,0)),"Not on Buffers",IF(NOT(ISNUMBER($B1233)),"Needs a date",IF(INT($B1233)&lt;PlanDate,"Past due",IF(INT($B1233)=PlanDate,"Due today",IF(AND(INDEX(Buffers!$L:$L,MATCH($H1233,Buffers!$AE:$AE,0))="Planned",$E1233&gt;0,INT($B1233)&lt;=PlanDate+ROUNDUP(IF(ISNUMBER(SpikeHorizon),SpikeHorizon,INDEX(Buffers!$D:$D,MATCH($H1233,Buffers!$AE:$AE,0))),0),$E1233&gt;=SpikePct*INDEX(Buffers!$P:$P,MATCH($H1233,Buffers!$AE:$AE,0))),"Spike","Not qualified"))))))</f>
        <v/>
      </c>
      <c r="G1233" s="8" t="str">
        <f aca="false">IF($A1233="","",IF(OR($F1233="Past due",$F1233="Due today",$F1233="Spike"),$C1233,0))</f>
        <v/>
      </c>
      <c r="H1233" s="8" t="str">
        <f aca="false">IF($A1233="","",SUBSTITUTE(SUBSTITUTE(SUBSTITUTE($A1233&amp;"","~","~~"),"*","~*"),"?","~?"))</f>
        <v/>
      </c>
    </row>
    <row r="1234" customFormat="false" ht="15" hidden="false" customHeight="false" outlineLevel="0" collapsed="false">
      <c r="A1234" s="11"/>
      <c r="B1234" s="6"/>
      <c r="C1234" s="11"/>
      <c r="D1234" s="11"/>
      <c r="E1234" s="8" t="str">
        <f aca="false">IF($A1234="","",SUMIFS($C:$C,$A:$A,$H1234,$B:$B,"&gt;="&amp;INT($B1234),$B:$B,"&lt;"&amp;(INT($B1234)+1)))</f>
        <v/>
      </c>
      <c r="F1234" s="19" t="str">
        <f aca="false">IF($A1234="","",IF(ISNA(MATCH($H1234,Buffers!$AE:$AE,0)),"Not on Buffers",IF(NOT(ISNUMBER($B1234)),"Needs a date",IF(INT($B1234)&lt;PlanDate,"Past due",IF(INT($B1234)=PlanDate,"Due today",IF(AND(INDEX(Buffers!$L:$L,MATCH($H1234,Buffers!$AE:$AE,0))="Planned",$E1234&gt;0,INT($B1234)&lt;=PlanDate+ROUNDUP(IF(ISNUMBER(SpikeHorizon),SpikeHorizon,INDEX(Buffers!$D:$D,MATCH($H1234,Buffers!$AE:$AE,0))),0),$E1234&gt;=SpikePct*INDEX(Buffers!$P:$P,MATCH($H1234,Buffers!$AE:$AE,0))),"Spike","Not qualified"))))))</f>
        <v/>
      </c>
      <c r="G1234" s="8" t="str">
        <f aca="false">IF($A1234="","",IF(OR($F1234="Past due",$F1234="Due today",$F1234="Spike"),$C1234,0))</f>
        <v/>
      </c>
      <c r="H1234" s="8" t="str">
        <f aca="false">IF($A1234="","",SUBSTITUTE(SUBSTITUTE(SUBSTITUTE($A1234&amp;"","~","~~"),"*","~*"),"?","~?"))</f>
        <v/>
      </c>
    </row>
    <row r="1235" customFormat="false" ht="15" hidden="false" customHeight="false" outlineLevel="0" collapsed="false">
      <c r="A1235" s="11"/>
      <c r="B1235" s="6"/>
      <c r="C1235" s="11"/>
      <c r="D1235" s="11"/>
      <c r="E1235" s="8" t="str">
        <f aca="false">IF($A1235="","",SUMIFS($C:$C,$A:$A,$H1235,$B:$B,"&gt;="&amp;INT($B1235),$B:$B,"&lt;"&amp;(INT($B1235)+1)))</f>
        <v/>
      </c>
      <c r="F1235" s="19" t="str">
        <f aca="false">IF($A1235="","",IF(ISNA(MATCH($H1235,Buffers!$AE:$AE,0)),"Not on Buffers",IF(NOT(ISNUMBER($B1235)),"Needs a date",IF(INT($B1235)&lt;PlanDate,"Past due",IF(INT($B1235)=PlanDate,"Due today",IF(AND(INDEX(Buffers!$L:$L,MATCH($H1235,Buffers!$AE:$AE,0))="Planned",$E1235&gt;0,INT($B1235)&lt;=PlanDate+ROUNDUP(IF(ISNUMBER(SpikeHorizon),SpikeHorizon,INDEX(Buffers!$D:$D,MATCH($H1235,Buffers!$AE:$AE,0))),0),$E1235&gt;=SpikePct*INDEX(Buffers!$P:$P,MATCH($H1235,Buffers!$AE:$AE,0))),"Spike","Not qualified"))))))</f>
        <v/>
      </c>
      <c r="G1235" s="8" t="str">
        <f aca="false">IF($A1235="","",IF(OR($F1235="Past due",$F1235="Due today",$F1235="Spike"),$C1235,0))</f>
        <v/>
      </c>
      <c r="H1235" s="8" t="str">
        <f aca="false">IF($A1235="","",SUBSTITUTE(SUBSTITUTE(SUBSTITUTE($A1235&amp;"","~","~~"),"*","~*"),"?","~?"))</f>
        <v/>
      </c>
    </row>
    <row r="1236" customFormat="false" ht="15" hidden="false" customHeight="false" outlineLevel="0" collapsed="false">
      <c r="A1236" s="11"/>
      <c r="B1236" s="6"/>
      <c r="C1236" s="11"/>
      <c r="D1236" s="11"/>
      <c r="E1236" s="8" t="str">
        <f aca="false">IF($A1236="","",SUMIFS($C:$C,$A:$A,$H1236,$B:$B,"&gt;="&amp;INT($B1236),$B:$B,"&lt;"&amp;(INT($B1236)+1)))</f>
        <v/>
      </c>
      <c r="F1236" s="19" t="str">
        <f aca="false">IF($A1236="","",IF(ISNA(MATCH($H1236,Buffers!$AE:$AE,0)),"Not on Buffers",IF(NOT(ISNUMBER($B1236)),"Needs a date",IF(INT($B1236)&lt;PlanDate,"Past due",IF(INT($B1236)=PlanDate,"Due today",IF(AND(INDEX(Buffers!$L:$L,MATCH($H1236,Buffers!$AE:$AE,0))="Planned",$E1236&gt;0,INT($B1236)&lt;=PlanDate+ROUNDUP(IF(ISNUMBER(SpikeHorizon),SpikeHorizon,INDEX(Buffers!$D:$D,MATCH($H1236,Buffers!$AE:$AE,0))),0),$E1236&gt;=SpikePct*INDEX(Buffers!$P:$P,MATCH($H1236,Buffers!$AE:$AE,0))),"Spike","Not qualified"))))))</f>
        <v/>
      </c>
      <c r="G1236" s="8" t="str">
        <f aca="false">IF($A1236="","",IF(OR($F1236="Past due",$F1236="Due today",$F1236="Spike"),$C1236,0))</f>
        <v/>
      </c>
      <c r="H1236" s="8" t="str">
        <f aca="false">IF($A1236="","",SUBSTITUTE(SUBSTITUTE(SUBSTITUTE($A1236&amp;"","~","~~"),"*","~*"),"?","~?"))</f>
        <v/>
      </c>
    </row>
    <row r="1237" customFormat="false" ht="15" hidden="false" customHeight="false" outlineLevel="0" collapsed="false">
      <c r="A1237" s="11"/>
      <c r="B1237" s="6"/>
      <c r="C1237" s="11"/>
      <c r="D1237" s="11"/>
      <c r="E1237" s="8" t="str">
        <f aca="false">IF($A1237="","",SUMIFS($C:$C,$A:$A,$H1237,$B:$B,"&gt;="&amp;INT($B1237),$B:$B,"&lt;"&amp;(INT($B1237)+1)))</f>
        <v/>
      </c>
      <c r="F1237" s="19" t="str">
        <f aca="false">IF($A1237="","",IF(ISNA(MATCH($H1237,Buffers!$AE:$AE,0)),"Not on Buffers",IF(NOT(ISNUMBER($B1237)),"Needs a date",IF(INT($B1237)&lt;PlanDate,"Past due",IF(INT($B1237)=PlanDate,"Due today",IF(AND(INDEX(Buffers!$L:$L,MATCH($H1237,Buffers!$AE:$AE,0))="Planned",$E1237&gt;0,INT($B1237)&lt;=PlanDate+ROUNDUP(IF(ISNUMBER(SpikeHorizon),SpikeHorizon,INDEX(Buffers!$D:$D,MATCH($H1237,Buffers!$AE:$AE,0))),0),$E1237&gt;=SpikePct*INDEX(Buffers!$P:$P,MATCH($H1237,Buffers!$AE:$AE,0))),"Spike","Not qualified"))))))</f>
        <v/>
      </c>
      <c r="G1237" s="8" t="str">
        <f aca="false">IF($A1237="","",IF(OR($F1237="Past due",$F1237="Due today",$F1237="Spike"),$C1237,0))</f>
        <v/>
      </c>
      <c r="H1237" s="8" t="str">
        <f aca="false">IF($A1237="","",SUBSTITUTE(SUBSTITUTE(SUBSTITUTE($A1237&amp;"","~","~~"),"*","~*"),"?","~?"))</f>
        <v/>
      </c>
    </row>
    <row r="1238" customFormat="false" ht="15" hidden="false" customHeight="false" outlineLevel="0" collapsed="false">
      <c r="A1238" s="11"/>
      <c r="B1238" s="6"/>
      <c r="C1238" s="11"/>
      <c r="D1238" s="11"/>
      <c r="E1238" s="8" t="str">
        <f aca="false">IF($A1238="","",SUMIFS($C:$C,$A:$A,$H1238,$B:$B,"&gt;="&amp;INT($B1238),$B:$B,"&lt;"&amp;(INT($B1238)+1)))</f>
        <v/>
      </c>
      <c r="F1238" s="19" t="str">
        <f aca="false">IF($A1238="","",IF(ISNA(MATCH($H1238,Buffers!$AE:$AE,0)),"Not on Buffers",IF(NOT(ISNUMBER($B1238)),"Needs a date",IF(INT($B1238)&lt;PlanDate,"Past due",IF(INT($B1238)=PlanDate,"Due today",IF(AND(INDEX(Buffers!$L:$L,MATCH($H1238,Buffers!$AE:$AE,0))="Planned",$E1238&gt;0,INT($B1238)&lt;=PlanDate+ROUNDUP(IF(ISNUMBER(SpikeHorizon),SpikeHorizon,INDEX(Buffers!$D:$D,MATCH($H1238,Buffers!$AE:$AE,0))),0),$E1238&gt;=SpikePct*INDEX(Buffers!$P:$P,MATCH($H1238,Buffers!$AE:$AE,0))),"Spike","Not qualified"))))))</f>
        <v/>
      </c>
      <c r="G1238" s="8" t="str">
        <f aca="false">IF($A1238="","",IF(OR($F1238="Past due",$F1238="Due today",$F1238="Spike"),$C1238,0))</f>
        <v/>
      </c>
      <c r="H1238" s="8" t="str">
        <f aca="false">IF($A1238="","",SUBSTITUTE(SUBSTITUTE(SUBSTITUTE($A1238&amp;"","~","~~"),"*","~*"),"?","~?"))</f>
        <v/>
      </c>
    </row>
    <row r="1239" customFormat="false" ht="15" hidden="false" customHeight="false" outlineLevel="0" collapsed="false">
      <c r="A1239" s="11"/>
      <c r="B1239" s="6"/>
      <c r="C1239" s="11"/>
      <c r="D1239" s="11"/>
      <c r="E1239" s="8" t="str">
        <f aca="false">IF($A1239="","",SUMIFS($C:$C,$A:$A,$H1239,$B:$B,"&gt;="&amp;INT($B1239),$B:$B,"&lt;"&amp;(INT($B1239)+1)))</f>
        <v/>
      </c>
      <c r="F1239" s="19" t="str">
        <f aca="false">IF($A1239="","",IF(ISNA(MATCH($H1239,Buffers!$AE:$AE,0)),"Not on Buffers",IF(NOT(ISNUMBER($B1239)),"Needs a date",IF(INT($B1239)&lt;PlanDate,"Past due",IF(INT($B1239)=PlanDate,"Due today",IF(AND(INDEX(Buffers!$L:$L,MATCH($H1239,Buffers!$AE:$AE,0))="Planned",$E1239&gt;0,INT($B1239)&lt;=PlanDate+ROUNDUP(IF(ISNUMBER(SpikeHorizon),SpikeHorizon,INDEX(Buffers!$D:$D,MATCH($H1239,Buffers!$AE:$AE,0))),0),$E1239&gt;=SpikePct*INDEX(Buffers!$P:$P,MATCH($H1239,Buffers!$AE:$AE,0))),"Spike","Not qualified"))))))</f>
        <v/>
      </c>
      <c r="G1239" s="8" t="str">
        <f aca="false">IF($A1239="","",IF(OR($F1239="Past due",$F1239="Due today",$F1239="Spike"),$C1239,0))</f>
        <v/>
      </c>
      <c r="H1239" s="8" t="str">
        <f aca="false">IF($A1239="","",SUBSTITUTE(SUBSTITUTE(SUBSTITUTE($A1239&amp;"","~","~~"),"*","~*"),"?","~?"))</f>
        <v/>
      </c>
    </row>
    <row r="1240" customFormat="false" ht="15" hidden="false" customHeight="false" outlineLevel="0" collapsed="false">
      <c r="A1240" s="11"/>
      <c r="B1240" s="6"/>
      <c r="C1240" s="11"/>
      <c r="D1240" s="11"/>
      <c r="E1240" s="8" t="str">
        <f aca="false">IF($A1240="","",SUMIFS($C:$C,$A:$A,$H1240,$B:$B,"&gt;="&amp;INT($B1240),$B:$B,"&lt;"&amp;(INT($B1240)+1)))</f>
        <v/>
      </c>
      <c r="F1240" s="19" t="str">
        <f aca="false">IF($A1240="","",IF(ISNA(MATCH($H1240,Buffers!$AE:$AE,0)),"Not on Buffers",IF(NOT(ISNUMBER($B1240)),"Needs a date",IF(INT($B1240)&lt;PlanDate,"Past due",IF(INT($B1240)=PlanDate,"Due today",IF(AND(INDEX(Buffers!$L:$L,MATCH($H1240,Buffers!$AE:$AE,0))="Planned",$E1240&gt;0,INT($B1240)&lt;=PlanDate+ROUNDUP(IF(ISNUMBER(SpikeHorizon),SpikeHorizon,INDEX(Buffers!$D:$D,MATCH($H1240,Buffers!$AE:$AE,0))),0),$E1240&gt;=SpikePct*INDEX(Buffers!$P:$P,MATCH($H1240,Buffers!$AE:$AE,0))),"Spike","Not qualified"))))))</f>
        <v/>
      </c>
      <c r="G1240" s="8" t="str">
        <f aca="false">IF($A1240="","",IF(OR($F1240="Past due",$F1240="Due today",$F1240="Spike"),$C1240,0))</f>
        <v/>
      </c>
      <c r="H1240" s="8" t="str">
        <f aca="false">IF($A1240="","",SUBSTITUTE(SUBSTITUTE(SUBSTITUTE($A1240&amp;"","~","~~"),"*","~*"),"?","~?"))</f>
        <v/>
      </c>
    </row>
    <row r="1241" customFormat="false" ht="15" hidden="false" customHeight="false" outlineLevel="0" collapsed="false">
      <c r="A1241" s="11"/>
      <c r="B1241" s="6"/>
      <c r="C1241" s="11"/>
      <c r="D1241" s="11"/>
      <c r="E1241" s="8" t="str">
        <f aca="false">IF($A1241="","",SUMIFS($C:$C,$A:$A,$H1241,$B:$B,"&gt;="&amp;INT($B1241),$B:$B,"&lt;"&amp;(INT($B1241)+1)))</f>
        <v/>
      </c>
      <c r="F1241" s="19" t="str">
        <f aca="false">IF($A1241="","",IF(ISNA(MATCH($H1241,Buffers!$AE:$AE,0)),"Not on Buffers",IF(NOT(ISNUMBER($B1241)),"Needs a date",IF(INT($B1241)&lt;PlanDate,"Past due",IF(INT($B1241)=PlanDate,"Due today",IF(AND(INDEX(Buffers!$L:$L,MATCH($H1241,Buffers!$AE:$AE,0))="Planned",$E1241&gt;0,INT($B1241)&lt;=PlanDate+ROUNDUP(IF(ISNUMBER(SpikeHorizon),SpikeHorizon,INDEX(Buffers!$D:$D,MATCH($H1241,Buffers!$AE:$AE,0))),0),$E1241&gt;=SpikePct*INDEX(Buffers!$P:$P,MATCH($H1241,Buffers!$AE:$AE,0))),"Spike","Not qualified"))))))</f>
        <v/>
      </c>
      <c r="G1241" s="8" t="str">
        <f aca="false">IF($A1241="","",IF(OR($F1241="Past due",$F1241="Due today",$F1241="Spike"),$C1241,0))</f>
        <v/>
      </c>
      <c r="H1241" s="8" t="str">
        <f aca="false">IF($A1241="","",SUBSTITUTE(SUBSTITUTE(SUBSTITUTE($A1241&amp;"","~","~~"),"*","~*"),"?","~?"))</f>
        <v/>
      </c>
    </row>
    <row r="1242" customFormat="false" ht="15" hidden="false" customHeight="false" outlineLevel="0" collapsed="false">
      <c r="A1242" s="11"/>
      <c r="B1242" s="6"/>
      <c r="C1242" s="11"/>
      <c r="D1242" s="11"/>
      <c r="E1242" s="8" t="str">
        <f aca="false">IF($A1242="","",SUMIFS($C:$C,$A:$A,$H1242,$B:$B,"&gt;="&amp;INT($B1242),$B:$B,"&lt;"&amp;(INT($B1242)+1)))</f>
        <v/>
      </c>
      <c r="F1242" s="19" t="str">
        <f aca="false">IF($A1242="","",IF(ISNA(MATCH($H1242,Buffers!$AE:$AE,0)),"Not on Buffers",IF(NOT(ISNUMBER($B1242)),"Needs a date",IF(INT($B1242)&lt;PlanDate,"Past due",IF(INT($B1242)=PlanDate,"Due today",IF(AND(INDEX(Buffers!$L:$L,MATCH($H1242,Buffers!$AE:$AE,0))="Planned",$E1242&gt;0,INT($B1242)&lt;=PlanDate+ROUNDUP(IF(ISNUMBER(SpikeHorizon),SpikeHorizon,INDEX(Buffers!$D:$D,MATCH($H1242,Buffers!$AE:$AE,0))),0),$E1242&gt;=SpikePct*INDEX(Buffers!$P:$P,MATCH($H1242,Buffers!$AE:$AE,0))),"Spike","Not qualified"))))))</f>
        <v/>
      </c>
      <c r="G1242" s="8" t="str">
        <f aca="false">IF($A1242="","",IF(OR($F1242="Past due",$F1242="Due today",$F1242="Spike"),$C1242,0))</f>
        <v/>
      </c>
      <c r="H1242" s="8" t="str">
        <f aca="false">IF($A1242="","",SUBSTITUTE(SUBSTITUTE(SUBSTITUTE($A1242&amp;"","~","~~"),"*","~*"),"?","~?"))</f>
        <v/>
      </c>
    </row>
    <row r="1243" customFormat="false" ht="15" hidden="false" customHeight="false" outlineLevel="0" collapsed="false">
      <c r="A1243" s="11"/>
      <c r="B1243" s="6"/>
      <c r="C1243" s="11"/>
      <c r="D1243" s="11"/>
      <c r="E1243" s="8" t="str">
        <f aca="false">IF($A1243="","",SUMIFS($C:$C,$A:$A,$H1243,$B:$B,"&gt;="&amp;INT($B1243),$B:$B,"&lt;"&amp;(INT($B1243)+1)))</f>
        <v/>
      </c>
      <c r="F1243" s="19" t="str">
        <f aca="false">IF($A1243="","",IF(ISNA(MATCH($H1243,Buffers!$AE:$AE,0)),"Not on Buffers",IF(NOT(ISNUMBER($B1243)),"Needs a date",IF(INT($B1243)&lt;PlanDate,"Past due",IF(INT($B1243)=PlanDate,"Due today",IF(AND(INDEX(Buffers!$L:$L,MATCH($H1243,Buffers!$AE:$AE,0))="Planned",$E1243&gt;0,INT($B1243)&lt;=PlanDate+ROUNDUP(IF(ISNUMBER(SpikeHorizon),SpikeHorizon,INDEX(Buffers!$D:$D,MATCH($H1243,Buffers!$AE:$AE,0))),0),$E1243&gt;=SpikePct*INDEX(Buffers!$P:$P,MATCH($H1243,Buffers!$AE:$AE,0))),"Spike","Not qualified"))))))</f>
        <v/>
      </c>
      <c r="G1243" s="8" t="str">
        <f aca="false">IF($A1243="","",IF(OR($F1243="Past due",$F1243="Due today",$F1243="Spike"),$C1243,0))</f>
        <v/>
      </c>
      <c r="H1243" s="8" t="str">
        <f aca="false">IF($A1243="","",SUBSTITUTE(SUBSTITUTE(SUBSTITUTE($A1243&amp;"","~","~~"),"*","~*"),"?","~?"))</f>
        <v/>
      </c>
    </row>
    <row r="1244" customFormat="false" ht="15" hidden="false" customHeight="false" outlineLevel="0" collapsed="false">
      <c r="A1244" s="11"/>
      <c r="B1244" s="6"/>
      <c r="C1244" s="11"/>
      <c r="D1244" s="11"/>
      <c r="E1244" s="8" t="str">
        <f aca="false">IF($A1244="","",SUMIFS($C:$C,$A:$A,$H1244,$B:$B,"&gt;="&amp;INT($B1244),$B:$B,"&lt;"&amp;(INT($B1244)+1)))</f>
        <v/>
      </c>
      <c r="F1244" s="19" t="str">
        <f aca="false">IF($A1244="","",IF(ISNA(MATCH($H1244,Buffers!$AE:$AE,0)),"Not on Buffers",IF(NOT(ISNUMBER($B1244)),"Needs a date",IF(INT($B1244)&lt;PlanDate,"Past due",IF(INT($B1244)=PlanDate,"Due today",IF(AND(INDEX(Buffers!$L:$L,MATCH($H1244,Buffers!$AE:$AE,0))="Planned",$E1244&gt;0,INT($B1244)&lt;=PlanDate+ROUNDUP(IF(ISNUMBER(SpikeHorizon),SpikeHorizon,INDEX(Buffers!$D:$D,MATCH($H1244,Buffers!$AE:$AE,0))),0),$E1244&gt;=SpikePct*INDEX(Buffers!$P:$P,MATCH($H1244,Buffers!$AE:$AE,0))),"Spike","Not qualified"))))))</f>
        <v/>
      </c>
      <c r="G1244" s="8" t="str">
        <f aca="false">IF($A1244="","",IF(OR($F1244="Past due",$F1244="Due today",$F1244="Spike"),$C1244,0))</f>
        <v/>
      </c>
      <c r="H1244" s="8" t="str">
        <f aca="false">IF($A1244="","",SUBSTITUTE(SUBSTITUTE(SUBSTITUTE($A1244&amp;"","~","~~"),"*","~*"),"?","~?"))</f>
        <v/>
      </c>
    </row>
    <row r="1245" customFormat="false" ht="15" hidden="false" customHeight="false" outlineLevel="0" collapsed="false">
      <c r="A1245" s="11"/>
      <c r="B1245" s="6"/>
      <c r="C1245" s="11"/>
      <c r="D1245" s="11"/>
      <c r="E1245" s="8" t="str">
        <f aca="false">IF($A1245="","",SUMIFS($C:$C,$A:$A,$H1245,$B:$B,"&gt;="&amp;INT($B1245),$B:$B,"&lt;"&amp;(INT($B1245)+1)))</f>
        <v/>
      </c>
      <c r="F1245" s="19" t="str">
        <f aca="false">IF($A1245="","",IF(ISNA(MATCH($H1245,Buffers!$AE:$AE,0)),"Not on Buffers",IF(NOT(ISNUMBER($B1245)),"Needs a date",IF(INT($B1245)&lt;PlanDate,"Past due",IF(INT($B1245)=PlanDate,"Due today",IF(AND(INDEX(Buffers!$L:$L,MATCH($H1245,Buffers!$AE:$AE,0))="Planned",$E1245&gt;0,INT($B1245)&lt;=PlanDate+ROUNDUP(IF(ISNUMBER(SpikeHorizon),SpikeHorizon,INDEX(Buffers!$D:$D,MATCH($H1245,Buffers!$AE:$AE,0))),0),$E1245&gt;=SpikePct*INDEX(Buffers!$P:$P,MATCH($H1245,Buffers!$AE:$AE,0))),"Spike","Not qualified"))))))</f>
        <v/>
      </c>
      <c r="G1245" s="8" t="str">
        <f aca="false">IF($A1245="","",IF(OR($F1245="Past due",$F1245="Due today",$F1245="Spike"),$C1245,0))</f>
        <v/>
      </c>
      <c r="H1245" s="8" t="str">
        <f aca="false">IF($A1245="","",SUBSTITUTE(SUBSTITUTE(SUBSTITUTE($A1245&amp;"","~","~~"),"*","~*"),"?","~?"))</f>
        <v/>
      </c>
    </row>
    <row r="1246" customFormat="false" ht="15" hidden="false" customHeight="false" outlineLevel="0" collapsed="false">
      <c r="A1246" s="11"/>
      <c r="B1246" s="6"/>
      <c r="C1246" s="11"/>
      <c r="D1246" s="11"/>
      <c r="E1246" s="8" t="str">
        <f aca="false">IF($A1246="","",SUMIFS($C:$C,$A:$A,$H1246,$B:$B,"&gt;="&amp;INT($B1246),$B:$B,"&lt;"&amp;(INT($B1246)+1)))</f>
        <v/>
      </c>
      <c r="F1246" s="19" t="str">
        <f aca="false">IF($A1246="","",IF(ISNA(MATCH($H1246,Buffers!$AE:$AE,0)),"Not on Buffers",IF(NOT(ISNUMBER($B1246)),"Needs a date",IF(INT($B1246)&lt;PlanDate,"Past due",IF(INT($B1246)=PlanDate,"Due today",IF(AND(INDEX(Buffers!$L:$L,MATCH($H1246,Buffers!$AE:$AE,0))="Planned",$E1246&gt;0,INT($B1246)&lt;=PlanDate+ROUNDUP(IF(ISNUMBER(SpikeHorizon),SpikeHorizon,INDEX(Buffers!$D:$D,MATCH($H1246,Buffers!$AE:$AE,0))),0),$E1246&gt;=SpikePct*INDEX(Buffers!$P:$P,MATCH($H1246,Buffers!$AE:$AE,0))),"Spike","Not qualified"))))))</f>
        <v/>
      </c>
      <c r="G1246" s="8" t="str">
        <f aca="false">IF($A1246="","",IF(OR($F1246="Past due",$F1246="Due today",$F1246="Spike"),$C1246,0))</f>
        <v/>
      </c>
      <c r="H1246" s="8" t="str">
        <f aca="false">IF($A1246="","",SUBSTITUTE(SUBSTITUTE(SUBSTITUTE($A1246&amp;"","~","~~"),"*","~*"),"?","~?"))</f>
        <v/>
      </c>
    </row>
    <row r="1247" customFormat="false" ht="15" hidden="false" customHeight="false" outlineLevel="0" collapsed="false">
      <c r="A1247" s="11"/>
      <c r="B1247" s="6"/>
      <c r="C1247" s="11"/>
      <c r="D1247" s="11"/>
      <c r="E1247" s="8" t="str">
        <f aca="false">IF($A1247="","",SUMIFS($C:$C,$A:$A,$H1247,$B:$B,"&gt;="&amp;INT($B1247),$B:$B,"&lt;"&amp;(INT($B1247)+1)))</f>
        <v/>
      </c>
      <c r="F1247" s="19" t="str">
        <f aca="false">IF($A1247="","",IF(ISNA(MATCH($H1247,Buffers!$AE:$AE,0)),"Not on Buffers",IF(NOT(ISNUMBER($B1247)),"Needs a date",IF(INT($B1247)&lt;PlanDate,"Past due",IF(INT($B1247)=PlanDate,"Due today",IF(AND(INDEX(Buffers!$L:$L,MATCH($H1247,Buffers!$AE:$AE,0))="Planned",$E1247&gt;0,INT($B1247)&lt;=PlanDate+ROUNDUP(IF(ISNUMBER(SpikeHorizon),SpikeHorizon,INDEX(Buffers!$D:$D,MATCH($H1247,Buffers!$AE:$AE,0))),0),$E1247&gt;=SpikePct*INDEX(Buffers!$P:$P,MATCH($H1247,Buffers!$AE:$AE,0))),"Spike","Not qualified"))))))</f>
        <v/>
      </c>
      <c r="G1247" s="8" t="str">
        <f aca="false">IF($A1247="","",IF(OR($F1247="Past due",$F1247="Due today",$F1247="Spike"),$C1247,0))</f>
        <v/>
      </c>
      <c r="H1247" s="8" t="str">
        <f aca="false">IF($A1247="","",SUBSTITUTE(SUBSTITUTE(SUBSTITUTE($A1247&amp;"","~","~~"),"*","~*"),"?","~?"))</f>
        <v/>
      </c>
    </row>
    <row r="1248" customFormat="false" ht="15" hidden="false" customHeight="false" outlineLevel="0" collapsed="false">
      <c r="A1248" s="11"/>
      <c r="B1248" s="6"/>
      <c r="C1248" s="11"/>
      <c r="D1248" s="11"/>
      <c r="E1248" s="8" t="str">
        <f aca="false">IF($A1248="","",SUMIFS($C:$C,$A:$A,$H1248,$B:$B,"&gt;="&amp;INT($B1248),$B:$B,"&lt;"&amp;(INT($B1248)+1)))</f>
        <v/>
      </c>
      <c r="F1248" s="19" t="str">
        <f aca="false">IF($A1248="","",IF(ISNA(MATCH($H1248,Buffers!$AE:$AE,0)),"Not on Buffers",IF(NOT(ISNUMBER($B1248)),"Needs a date",IF(INT($B1248)&lt;PlanDate,"Past due",IF(INT($B1248)=PlanDate,"Due today",IF(AND(INDEX(Buffers!$L:$L,MATCH($H1248,Buffers!$AE:$AE,0))="Planned",$E1248&gt;0,INT($B1248)&lt;=PlanDate+ROUNDUP(IF(ISNUMBER(SpikeHorizon),SpikeHorizon,INDEX(Buffers!$D:$D,MATCH($H1248,Buffers!$AE:$AE,0))),0),$E1248&gt;=SpikePct*INDEX(Buffers!$P:$P,MATCH($H1248,Buffers!$AE:$AE,0))),"Spike","Not qualified"))))))</f>
        <v/>
      </c>
      <c r="G1248" s="8" t="str">
        <f aca="false">IF($A1248="","",IF(OR($F1248="Past due",$F1248="Due today",$F1248="Spike"),$C1248,0))</f>
        <v/>
      </c>
      <c r="H1248" s="8" t="str">
        <f aca="false">IF($A1248="","",SUBSTITUTE(SUBSTITUTE(SUBSTITUTE($A1248&amp;"","~","~~"),"*","~*"),"?","~?"))</f>
        <v/>
      </c>
    </row>
    <row r="1249" customFormat="false" ht="15" hidden="false" customHeight="false" outlineLevel="0" collapsed="false">
      <c r="A1249" s="11"/>
      <c r="B1249" s="6"/>
      <c r="C1249" s="11"/>
      <c r="D1249" s="11"/>
      <c r="E1249" s="8" t="str">
        <f aca="false">IF($A1249="","",SUMIFS($C:$C,$A:$A,$H1249,$B:$B,"&gt;="&amp;INT($B1249),$B:$B,"&lt;"&amp;(INT($B1249)+1)))</f>
        <v/>
      </c>
      <c r="F1249" s="19" t="str">
        <f aca="false">IF($A1249="","",IF(ISNA(MATCH($H1249,Buffers!$AE:$AE,0)),"Not on Buffers",IF(NOT(ISNUMBER($B1249)),"Needs a date",IF(INT($B1249)&lt;PlanDate,"Past due",IF(INT($B1249)=PlanDate,"Due today",IF(AND(INDEX(Buffers!$L:$L,MATCH($H1249,Buffers!$AE:$AE,0))="Planned",$E1249&gt;0,INT($B1249)&lt;=PlanDate+ROUNDUP(IF(ISNUMBER(SpikeHorizon),SpikeHorizon,INDEX(Buffers!$D:$D,MATCH($H1249,Buffers!$AE:$AE,0))),0),$E1249&gt;=SpikePct*INDEX(Buffers!$P:$P,MATCH($H1249,Buffers!$AE:$AE,0))),"Spike","Not qualified"))))))</f>
        <v/>
      </c>
      <c r="G1249" s="8" t="str">
        <f aca="false">IF($A1249="","",IF(OR($F1249="Past due",$F1249="Due today",$F1249="Spike"),$C1249,0))</f>
        <v/>
      </c>
      <c r="H1249" s="8" t="str">
        <f aca="false">IF($A1249="","",SUBSTITUTE(SUBSTITUTE(SUBSTITUTE($A1249&amp;"","~","~~"),"*","~*"),"?","~?"))</f>
        <v/>
      </c>
    </row>
    <row r="1250" customFormat="false" ht="15" hidden="false" customHeight="false" outlineLevel="0" collapsed="false">
      <c r="A1250" s="11"/>
      <c r="B1250" s="6"/>
      <c r="C1250" s="11"/>
      <c r="D1250" s="11"/>
      <c r="E1250" s="8" t="str">
        <f aca="false">IF($A1250="","",SUMIFS($C:$C,$A:$A,$H1250,$B:$B,"&gt;="&amp;INT($B1250),$B:$B,"&lt;"&amp;(INT($B1250)+1)))</f>
        <v/>
      </c>
      <c r="F1250" s="19" t="str">
        <f aca="false">IF($A1250="","",IF(ISNA(MATCH($H1250,Buffers!$AE:$AE,0)),"Not on Buffers",IF(NOT(ISNUMBER($B1250)),"Needs a date",IF(INT($B1250)&lt;PlanDate,"Past due",IF(INT($B1250)=PlanDate,"Due today",IF(AND(INDEX(Buffers!$L:$L,MATCH($H1250,Buffers!$AE:$AE,0))="Planned",$E1250&gt;0,INT($B1250)&lt;=PlanDate+ROUNDUP(IF(ISNUMBER(SpikeHorizon),SpikeHorizon,INDEX(Buffers!$D:$D,MATCH($H1250,Buffers!$AE:$AE,0))),0),$E1250&gt;=SpikePct*INDEX(Buffers!$P:$P,MATCH($H1250,Buffers!$AE:$AE,0))),"Spike","Not qualified"))))))</f>
        <v/>
      </c>
      <c r="G1250" s="8" t="str">
        <f aca="false">IF($A1250="","",IF(OR($F1250="Past due",$F1250="Due today",$F1250="Spike"),$C1250,0))</f>
        <v/>
      </c>
      <c r="H1250" s="8" t="str">
        <f aca="false">IF($A1250="","",SUBSTITUTE(SUBSTITUTE(SUBSTITUTE($A1250&amp;"","~","~~"),"*","~*"),"?","~?"))</f>
        <v/>
      </c>
    </row>
    <row r="1251" customFormat="false" ht="15" hidden="false" customHeight="false" outlineLevel="0" collapsed="false">
      <c r="A1251" s="11"/>
      <c r="B1251" s="6"/>
      <c r="C1251" s="11"/>
      <c r="D1251" s="11"/>
      <c r="E1251" s="8" t="str">
        <f aca="false">IF($A1251="","",SUMIFS($C:$C,$A:$A,$H1251,$B:$B,"&gt;="&amp;INT($B1251),$B:$B,"&lt;"&amp;(INT($B1251)+1)))</f>
        <v/>
      </c>
      <c r="F1251" s="19" t="str">
        <f aca="false">IF($A1251="","",IF(ISNA(MATCH($H1251,Buffers!$AE:$AE,0)),"Not on Buffers",IF(NOT(ISNUMBER($B1251)),"Needs a date",IF(INT($B1251)&lt;PlanDate,"Past due",IF(INT($B1251)=PlanDate,"Due today",IF(AND(INDEX(Buffers!$L:$L,MATCH($H1251,Buffers!$AE:$AE,0))="Planned",$E1251&gt;0,INT($B1251)&lt;=PlanDate+ROUNDUP(IF(ISNUMBER(SpikeHorizon),SpikeHorizon,INDEX(Buffers!$D:$D,MATCH($H1251,Buffers!$AE:$AE,0))),0),$E1251&gt;=SpikePct*INDEX(Buffers!$P:$P,MATCH($H1251,Buffers!$AE:$AE,0))),"Spike","Not qualified"))))))</f>
        <v/>
      </c>
      <c r="G1251" s="8" t="str">
        <f aca="false">IF($A1251="","",IF(OR($F1251="Past due",$F1251="Due today",$F1251="Spike"),$C1251,0))</f>
        <v/>
      </c>
      <c r="H1251" s="8" t="str">
        <f aca="false">IF($A1251="","",SUBSTITUTE(SUBSTITUTE(SUBSTITUTE($A1251&amp;"","~","~~"),"*","~*"),"?","~?"))</f>
        <v/>
      </c>
    </row>
    <row r="1252" customFormat="false" ht="15" hidden="false" customHeight="false" outlineLevel="0" collapsed="false">
      <c r="A1252" s="11"/>
      <c r="B1252" s="6"/>
      <c r="C1252" s="11"/>
      <c r="D1252" s="11"/>
      <c r="E1252" s="8" t="str">
        <f aca="false">IF($A1252="","",SUMIFS($C:$C,$A:$A,$H1252,$B:$B,"&gt;="&amp;INT($B1252),$B:$B,"&lt;"&amp;(INT($B1252)+1)))</f>
        <v/>
      </c>
      <c r="F1252" s="19" t="str">
        <f aca="false">IF($A1252="","",IF(ISNA(MATCH($H1252,Buffers!$AE:$AE,0)),"Not on Buffers",IF(NOT(ISNUMBER($B1252)),"Needs a date",IF(INT($B1252)&lt;PlanDate,"Past due",IF(INT($B1252)=PlanDate,"Due today",IF(AND(INDEX(Buffers!$L:$L,MATCH($H1252,Buffers!$AE:$AE,0))="Planned",$E1252&gt;0,INT($B1252)&lt;=PlanDate+ROUNDUP(IF(ISNUMBER(SpikeHorizon),SpikeHorizon,INDEX(Buffers!$D:$D,MATCH($H1252,Buffers!$AE:$AE,0))),0),$E1252&gt;=SpikePct*INDEX(Buffers!$P:$P,MATCH($H1252,Buffers!$AE:$AE,0))),"Spike","Not qualified"))))))</f>
        <v/>
      </c>
      <c r="G1252" s="8" t="str">
        <f aca="false">IF($A1252="","",IF(OR($F1252="Past due",$F1252="Due today",$F1252="Spike"),$C1252,0))</f>
        <v/>
      </c>
      <c r="H1252" s="8" t="str">
        <f aca="false">IF($A1252="","",SUBSTITUTE(SUBSTITUTE(SUBSTITUTE($A1252&amp;"","~","~~"),"*","~*"),"?","~?"))</f>
        <v/>
      </c>
    </row>
    <row r="1253" customFormat="false" ht="15" hidden="false" customHeight="false" outlineLevel="0" collapsed="false">
      <c r="A1253" s="11"/>
      <c r="B1253" s="6"/>
      <c r="C1253" s="11"/>
      <c r="D1253" s="11"/>
      <c r="E1253" s="8" t="str">
        <f aca="false">IF($A1253="","",SUMIFS($C:$C,$A:$A,$H1253,$B:$B,"&gt;="&amp;INT($B1253),$B:$B,"&lt;"&amp;(INT($B1253)+1)))</f>
        <v/>
      </c>
      <c r="F1253" s="19" t="str">
        <f aca="false">IF($A1253="","",IF(ISNA(MATCH($H1253,Buffers!$AE:$AE,0)),"Not on Buffers",IF(NOT(ISNUMBER($B1253)),"Needs a date",IF(INT($B1253)&lt;PlanDate,"Past due",IF(INT($B1253)=PlanDate,"Due today",IF(AND(INDEX(Buffers!$L:$L,MATCH($H1253,Buffers!$AE:$AE,0))="Planned",$E1253&gt;0,INT($B1253)&lt;=PlanDate+ROUNDUP(IF(ISNUMBER(SpikeHorizon),SpikeHorizon,INDEX(Buffers!$D:$D,MATCH($H1253,Buffers!$AE:$AE,0))),0),$E1253&gt;=SpikePct*INDEX(Buffers!$P:$P,MATCH($H1253,Buffers!$AE:$AE,0))),"Spike","Not qualified"))))))</f>
        <v/>
      </c>
      <c r="G1253" s="8" t="str">
        <f aca="false">IF($A1253="","",IF(OR($F1253="Past due",$F1253="Due today",$F1253="Spike"),$C1253,0))</f>
        <v/>
      </c>
      <c r="H1253" s="8" t="str">
        <f aca="false">IF($A1253="","",SUBSTITUTE(SUBSTITUTE(SUBSTITUTE($A1253&amp;"","~","~~"),"*","~*"),"?","~?"))</f>
        <v/>
      </c>
    </row>
    <row r="1254" customFormat="false" ht="15" hidden="false" customHeight="false" outlineLevel="0" collapsed="false">
      <c r="A1254" s="11"/>
      <c r="B1254" s="6"/>
      <c r="C1254" s="11"/>
      <c r="D1254" s="11"/>
      <c r="E1254" s="8" t="str">
        <f aca="false">IF($A1254="","",SUMIFS($C:$C,$A:$A,$H1254,$B:$B,"&gt;="&amp;INT($B1254),$B:$B,"&lt;"&amp;(INT($B1254)+1)))</f>
        <v/>
      </c>
      <c r="F1254" s="19" t="str">
        <f aca="false">IF($A1254="","",IF(ISNA(MATCH($H1254,Buffers!$AE:$AE,0)),"Not on Buffers",IF(NOT(ISNUMBER($B1254)),"Needs a date",IF(INT($B1254)&lt;PlanDate,"Past due",IF(INT($B1254)=PlanDate,"Due today",IF(AND(INDEX(Buffers!$L:$L,MATCH($H1254,Buffers!$AE:$AE,0))="Planned",$E1254&gt;0,INT($B1254)&lt;=PlanDate+ROUNDUP(IF(ISNUMBER(SpikeHorizon),SpikeHorizon,INDEX(Buffers!$D:$D,MATCH($H1254,Buffers!$AE:$AE,0))),0),$E1254&gt;=SpikePct*INDEX(Buffers!$P:$P,MATCH($H1254,Buffers!$AE:$AE,0))),"Spike","Not qualified"))))))</f>
        <v/>
      </c>
      <c r="G1254" s="8" t="str">
        <f aca="false">IF($A1254="","",IF(OR($F1254="Past due",$F1254="Due today",$F1254="Spike"),$C1254,0))</f>
        <v/>
      </c>
      <c r="H1254" s="8" t="str">
        <f aca="false">IF($A1254="","",SUBSTITUTE(SUBSTITUTE(SUBSTITUTE($A1254&amp;"","~","~~"),"*","~*"),"?","~?"))</f>
        <v/>
      </c>
    </row>
    <row r="1255" customFormat="false" ht="15" hidden="false" customHeight="false" outlineLevel="0" collapsed="false">
      <c r="A1255" s="11"/>
      <c r="B1255" s="6"/>
      <c r="C1255" s="11"/>
      <c r="D1255" s="11"/>
      <c r="E1255" s="8" t="str">
        <f aca="false">IF($A1255="","",SUMIFS($C:$C,$A:$A,$H1255,$B:$B,"&gt;="&amp;INT($B1255),$B:$B,"&lt;"&amp;(INT($B1255)+1)))</f>
        <v/>
      </c>
      <c r="F1255" s="19" t="str">
        <f aca="false">IF($A1255="","",IF(ISNA(MATCH($H1255,Buffers!$AE:$AE,0)),"Not on Buffers",IF(NOT(ISNUMBER($B1255)),"Needs a date",IF(INT($B1255)&lt;PlanDate,"Past due",IF(INT($B1255)=PlanDate,"Due today",IF(AND(INDEX(Buffers!$L:$L,MATCH($H1255,Buffers!$AE:$AE,0))="Planned",$E1255&gt;0,INT($B1255)&lt;=PlanDate+ROUNDUP(IF(ISNUMBER(SpikeHorizon),SpikeHorizon,INDEX(Buffers!$D:$D,MATCH($H1255,Buffers!$AE:$AE,0))),0),$E1255&gt;=SpikePct*INDEX(Buffers!$P:$P,MATCH($H1255,Buffers!$AE:$AE,0))),"Spike","Not qualified"))))))</f>
        <v/>
      </c>
      <c r="G1255" s="8" t="str">
        <f aca="false">IF($A1255="","",IF(OR($F1255="Past due",$F1255="Due today",$F1255="Spike"),$C1255,0))</f>
        <v/>
      </c>
      <c r="H1255" s="8" t="str">
        <f aca="false">IF($A1255="","",SUBSTITUTE(SUBSTITUTE(SUBSTITUTE($A1255&amp;"","~","~~"),"*","~*"),"?","~?"))</f>
        <v/>
      </c>
    </row>
    <row r="1256" customFormat="false" ht="15" hidden="false" customHeight="false" outlineLevel="0" collapsed="false">
      <c r="A1256" s="11"/>
      <c r="B1256" s="6"/>
      <c r="C1256" s="11"/>
      <c r="D1256" s="11"/>
      <c r="E1256" s="8" t="str">
        <f aca="false">IF($A1256="","",SUMIFS($C:$C,$A:$A,$H1256,$B:$B,"&gt;="&amp;INT($B1256),$B:$B,"&lt;"&amp;(INT($B1256)+1)))</f>
        <v/>
      </c>
      <c r="F1256" s="19" t="str">
        <f aca="false">IF($A1256="","",IF(ISNA(MATCH($H1256,Buffers!$AE:$AE,0)),"Not on Buffers",IF(NOT(ISNUMBER($B1256)),"Needs a date",IF(INT($B1256)&lt;PlanDate,"Past due",IF(INT($B1256)=PlanDate,"Due today",IF(AND(INDEX(Buffers!$L:$L,MATCH($H1256,Buffers!$AE:$AE,0))="Planned",$E1256&gt;0,INT($B1256)&lt;=PlanDate+ROUNDUP(IF(ISNUMBER(SpikeHorizon),SpikeHorizon,INDEX(Buffers!$D:$D,MATCH($H1256,Buffers!$AE:$AE,0))),0),$E1256&gt;=SpikePct*INDEX(Buffers!$P:$P,MATCH($H1256,Buffers!$AE:$AE,0))),"Spike","Not qualified"))))))</f>
        <v/>
      </c>
      <c r="G1256" s="8" t="str">
        <f aca="false">IF($A1256="","",IF(OR($F1256="Past due",$F1256="Due today",$F1256="Spike"),$C1256,0))</f>
        <v/>
      </c>
      <c r="H1256" s="8" t="str">
        <f aca="false">IF($A1256="","",SUBSTITUTE(SUBSTITUTE(SUBSTITUTE($A1256&amp;"","~","~~"),"*","~*"),"?","~?"))</f>
        <v/>
      </c>
    </row>
    <row r="1257" customFormat="false" ht="15" hidden="false" customHeight="false" outlineLevel="0" collapsed="false">
      <c r="A1257" s="11"/>
      <c r="B1257" s="6"/>
      <c r="C1257" s="11"/>
      <c r="D1257" s="11"/>
      <c r="E1257" s="8" t="str">
        <f aca="false">IF($A1257="","",SUMIFS($C:$C,$A:$A,$H1257,$B:$B,"&gt;="&amp;INT($B1257),$B:$B,"&lt;"&amp;(INT($B1257)+1)))</f>
        <v/>
      </c>
      <c r="F1257" s="19" t="str">
        <f aca="false">IF($A1257="","",IF(ISNA(MATCH($H1257,Buffers!$AE:$AE,0)),"Not on Buffers",IF(NOT(ISNUMBER($B1257)),"Needs a date",IF(INT($B1257)&lt;PlanDate,"Past due",IF(INT($B1257)=PlanDate,"Due today",IF(AND(INDEX(Buffers!$L:$L,MATCH($H1257,Buffers!$AE:$AE,0))="Planned",$E1257&gt;0,INT($B1257)&lt;=PlanDate+ROUNDUP(IF(ISNUMBER(SpikeHorizon),SpikeHorizon,INDEX(Buffers!$D:$D,MATCH($H1257,Buffers!$AE:$AE,0))),0),$E1257&gt;=SpikePct*INDEX(Buffers!$P:$P,MATCH($H1257,Buffers!$AE:$AE,0))),"Spike","Not qualified"))))))</f>
        <v/>
      </c>
      <c r="G1257" s="8" t="str">
        <f aca="false">IF($A1257="","",IF(OR($F1257="Past due",$F1257="Due today",$F1257="Spike"),$C1257,0))</f>
        <v/>
      </c>
      <c r="H1257" s="8" t="str">
        <f aca="false">IF($A1257="","",SUBSTITUTE(SUBSTITUTE(SUBSTITUTE($A1257&amp;"","~","~~"),"*","~*"),"?","~?"))</f>
        <v/>
      </c>
    </row>
    <row r="1258" customFormat="false" ht="15" hidden="false" customHeight="false" outlineLevel="0" collapsed="false">
      <c r="A1258" s="11"/>
      <c r="B1258" s="6"/>
      <c r="C1258" s="11"/>
      <c r="D1258" s="11"/>
      <c r="E1258" s="8" t="str">
        <f aca="false">IF($A1258="","",SUMIFS($C:$C,$A:$A,$H1258,$B:$B,"&gt;="&amp;INT($B1258),$B:$B,"&lt;"&amp;(INT($B1258)+1)))</f>
        <v/>
      </c>
      <c r="F1258" s="19" t="str">
        <f aca="false">IF($A1258="","",IF(ISNA(MATCH($H1258,Buffers!$AE:$AE,0)),"Not on Buffers",IF(NOT(ISNUMBER($B1258)),"Needs a date",IF(INT($B1258)&lt;PlanDate,"Past due",IF(INT($B1258)=PlanDate,"Due today",IF(AND(INDEX(Buffers!$L:$L,MATCH($H1258,Buffers!$AE:$AE,0))="Planned",$E1258&gt;0,INT($B1258)&lt;=PlanDate+ROUNDUP(IF(ISNUMBER(SpikeHorizon),SpikeHorizon,INDEX(Buffers!$D:$D,MATCH($H1258,Buffers!$AE:$AE,0))),0),$E1258&gt;=SpikePct*INDEX(Buffers!$P:$P,MATCH($H1258,Buffers!$AE:$AE,0))),"Spike","Not qualified"))))))</f>
        <v/>
      </c>
      <c r="G1258" s="8" t="str">
        <f aca="false">IF($A1258="","",IF(OR($F1258="Past due",$F1258="Due today",$F1258="Spike"),$C1258,0))</f>
        <v/>
      </c>
      <c r="H1258" s="8" t="str">
        <f aca="false">IF($A1258="","",SUBSTITUTE(SUBSTITUTE(SUBSTITUTE($A1258&amp;"","~","~~"),"*","~*"),"?","~?"))</f>
        <v/>
      </c>
    </row>
    <row r="1259" customFormat="false" ht="15" hidden="false" customHeight="false" outlineLevel="0" collapsed="false">
      <c r="A1259" s="11"/>
      <c r="B1259" s="6"/>
      <c r="C1259" s="11"/>
      <c r="D1259" s="11"/>
      <c r="E1259" s="8" t="str">
        <f aca="false">IF($A1259="","",SUMIFS($C:$C,$A:$A,$H1259,$B:$B,"&gt;="&amp;INT($B1259),$B:$B,"&lt;"&amp;(INT($B1259)+1)))</f>
        <v/>
      </c>
      <c r="F1259" s="19" t="str">
        <f aca="false">IF($A1259="","",IF(ISNA(MATCH($H1259,Buffers!$AE:$AE,0)),"Not on Buffers",IF(NOT(ISNUMBER($B1259)),"Needs a date",IF(INT($B1259)&lt;PlanDate,"Past due",IF(INT($B1259)=PlanDate,"Due today",IF(AND(INDEX(Buffers!$L:$L,MATCH($H1259,Buffers!$AE:$AE,0))="Planned",$E1259&gt;0,INT($B1259)&lt;=PlanDate+ROUNDUP(IF(ISNUMBER(SpikeHorizon),SpikeHorizon,INDEX(Buffers!$D:$D,MATCH($H1259,Buffers!$AE:$AE,0))),0),$E1259&gt;=SpikePct*INDEX(Buffers!$P:$P,MATCH($H1259,Buffers!$AE:$AE,0))),"Spike","Not qualified"))))))</f>
        <v/>
      </c>
      <c r="G1259" s="8" t="str">
        <f aca="false">IF($A1259="","",IF(OR($F1259="Past due",$F1259="Due today",$F1259="Spike"),$C1259,0))</f>
        <v/>
      </c>
      <c r="H1259" s="8" t="str">
        <f aca="false">IF($A1259="","",SUBSTITUTE(SUBSTITUTE(SUBSTITUTE($A1259&amp;"","~","~~"),"*","~*"),"?","~?"))</f>
        <v/>
      </c>
    </row>
    <row r="1260" customFormat="false" ht="15" hidden="false" customHeight="false" outlineLevel="0" collapsed="false">
      <c r="A1260" s="11"/>
      <c r="B1260" s="6"/>
      <c r="C1260" s="11"/>
      <c r="D1260" s="11"/>
      <c r="E1260" s="8" t="str">
        <f aca="false">IF($A1260="","",SUMIFS($C:$C,$A:$A,$H1260,$B:$B,"&gt;="&amp;INT($B1260),$B:$B,"&lt;"&amp;(INT($B1260)+1)))</f>
        <v/>
      </c>
      <c r="F1260" s="19" t="str">
        <f aca="false">IF($A1260="","",IF(ISNA(MATCH($H1260,Buffers!$AE:$AE,0)),"Not on Buffers",IF(NOT(ISNUMBER($B1260)),"Needs a date",IF(INT($B1260)&lt;PlanDate,"Past due",IF(INT($B1260)=PlanDate,"Due today",IF(AND(INDEX(Buffers!$L:$L,MATCH($H1260,Buffers!$AE:$AE,0))="Planned",$E1260&gt;0,INT($B1260)&lt;=PlanDate+ROUNDUP(IF(ISNUMBER(SpikeHorizon),SpikeHorizon,INDEX(Buffers!$D:$D,MATCH($H1260,Buffers!$AE:$AE,0))),0),$E1260&gt;=SpikePct*INDEX(Buffers!$P:$P,MATCH($H1260,Buffers!$AE:$AE,0))),"Spike","Not qualified"))))))</f>
        <v/>
      </c>
      <c r="G1260" s="8" t="str">
        <f aca="false">IF($A1260="","",IF(OR($F1260="Past due",$F1260="Due today",$F1260="Spike"),$C1260,0))</f>
        <v/>
      </c>
      <c r="H1260" s="8" t="str">
        <f aca="false">IF($A1260="","",SUBSTITUTE(SUBSTITUTE(SUBSTITUTE($A1260&amp;"","~","~~"),"*","~*"),"?","~?"))</f>
        <v/>
      </c>
    </row>
    <row r="1261" customFormat="false" ht="15" hidden="false" customHeight="false" outlineLevel="0" collapsed="false">
      <c r="A1261" s="11"/>
      <c r="B1261" s="6"/>
      <c r="C1261" s="11"/>
      <c r="D1261" s="11"/>
      <c r="E1261" s="8" t="str">
        <f aca="false">IF($A1261="","",SUMIFS($C:$C,$A:$A,$H1261,$B:$B,"&gt;="&amp;INT($B1261),$B:$B,"&lt;"&amp;(INT($B1261)+1)))</f>
        <v/>
      </c>
      <c r="F1261" s="19" t="str">
        <f aca="false">IF($A1261="","",IF(ISNA(MATCH($H1261,Buffers!$AE:$AE,0)),"Not on Buffers",IF(NOT(ISNUMBER($B1261)),"Needs a date",IF(INT($B1261)&lt;PlanDate,"Past due",IF(INT($B1261)=PlanDate,"Due today",IF(AND(INDEX(Buffers!$L:$L,MATCH($H1261,Buffers!$AE:$AE,0))="Planned",$E1261&gt;0,INT($B1261)&lt;=PlanDate+ROUNDUP(IF(ISNUMBER(SpikeHorizon),SpikeHorizon,INDEX(Buffers!$D:$D,MATCH($H1261,Buffers!$AE:$AE,0))),0),$E1261&gt;=SpikePct*INDEX(Buffers!$P:$P,MATCH($H1261,Buffers!$AE:$AE,0))),"Spike","Not qualified"))))))</f>
        <v/>
      </c>
      <c r="G1261" s="8" t="str">
        <f aca="false">IF($A1261="","",IF(OR($F1261="Past due",$F1261="Due today",$F1261="Spike"),$C1261,0))</f>
        <v/>
      </c>
      <c r="H1261" s="8" t="str">
        <f aca="false">IF($A1261="","",SUBSTITUTE(SUBSTITUTE(SUBSTITUTE($A1261&amp;"","~","~~"),"*","~*"),"?","~?"))</f>
        <v/>
      </c>
    </row>
    <row r="1262" customFormat="false" ht="15" hidden="false" customHeight="false" outlineLevel="0" collapsed="false">
      <c r="A1262" s="11"/>
      <c r="B1262" s="6"/>
      <c r="C1262" s="11"/>
      <c r="D1262" s="11"/>
      <c r="E1262" s="8" t="str">
        <f aca="false">IF($A1262="","",SUMIFS($C:$C,$A:$A,$H1262,$B:$B,"&gt;="&amp;INT($B1262),$B:$B,"&lt;"&amp;(INT($B1262)+1)))</f>
        <v/>
      </c>
      <c r="F1262" s="19" t="str">
        <f aca="false">IF($A1262="","",IF(ISNA(MATCH($H1262,Buffers!$AE:$AE,0)),"Not on Buffers",IF(NOT(ISNUMBER($B1262)),"Needs a date",IF(INT($B1262)&lt;PlanDate,"Past due",IF(INT($B1262)=PlanDate,"Due today",IF(AND(INDEX(Buffers!$L:$L,MATCH($H1262,Buffers!$AE:$AE,0))="Planned",$E1262&gt;0,INT($B1262)&lt;=PlanDate+ROUNDUP(IF(ISNUMBER(SpikeHorizon),SpikeHorizon,INDEX(Buffers!$D:$D,MATCH($H1262,Buffers!$AE:$AE,0))),0),$E1262&gt;=SpikePct*INDEX(Buffers!$P:$P,MATCH($H1262,Buffers!$AE:$AE,0))),"Spike","Not qualified"))))))</f>
        <v/>
      </c>
      <c r="G1262" s="8" t="str">
        <f aca="false">IF($A1262="","",IF(OR($F1262="Past due",$F1262="Due today",$F1262="Spike"),$C1262,0))</f>
        <v/>
      </c>
      <c r="H1262" s="8" t="str">
        <f aca="false">IF($A1262="","",SUBSTITUTE(SUBSTITUTE(SUBSTITUTE($A1262&amp;"","~","~~"),"*","~*"),"?","~?"))</f>
        <v/>
      </c>
    </row>
    <row r="1263" customFormat="false" ht="15" hidden="false" customHeight="false" outlineLevel="0" collapsed="false">
      <c r="A1263" s="11"/>
      <c r="B1263" s="6"/>
      <c r="C1263" s="11"/>
      <c r="D1263" s="11"/>
      <c r="E1263" s="8" t="str">
        <f aca="false">IF($A1263="","",SUMIFS($C:$C,$A:$A,$H1263,$B:$B,"&gt;="&amp;INT($B1263),$B:$B,"&lt;"&amp;(INT($B1263)+1)))</f>
        <v/>
      </c>
      <c r="F1263" s="19" t="str">
        <f aca="false">IF($A1263="","",IF(ISNA(MATCH($H1263,Buffers!$AE:$AE,0)),"Not on Buffers",IF(NOT(ISNUMBER($B1263)),"Needs a date",IF(INT($B1263)&lt;PlanDate,"Past due",IF(INT($B1263)=PlanDate,"Due today",IF(AND(INDEX(Buffers!$L:$L,MATCH($H1263,Buffers!$AE:$AE,0))="Planned",$E1263&gt;0,INT($B1263)&lt;=PlanDate+ROUNDUP(IF(ISNUMBER(SpikeHorizon),SpikeHorizon,INDEX(Buffers!$D:$D,MATCH($H1263,Buffers!$AE:$AE,0))),0),$E1263&gt;=SpikePct*INDEX(Buffers!$P:$P,MATCH($H1263,Buffers!$AE:$AE,0))),"Spike","Not qualified"))))))</f>
        <v/>
      </c>
      <c r="G1263" s="8" t="str">
        <f aca="false">IF($A1263="","",IF(OR($F1263="Past due",$F1263="Due today",$F1263="Spike"),$C1263,0))</f>
        <v/>
      </c>
      <c r="H1263" s="8" t="str">
        <f aca="false">IF($A1263="","",SUBSTITUTE(SUBSTITUTE(SUBSTITUTE($A1263&amp;"","~","~~"),"*","~*"),"?","~?"))</f>
        <v/>
      </c>
    </row>
    <row r="1264" customFormat="false" ht="15" hidden="false" customHeight="false" outlineLevel="0" collapsed="false">
      <c r="A1264" s="11"/>
      <c r="B1264" s="6"/>
      <c r="C1264" s="11"/>
      <c r="D1264" s="11"/>
      <c r="E1264" s="8" t="str">
        <f aca="false">IF($A1264="","",SUMIFS($C:$C,$A:$A,$H1264,$B:$B,"&gt;="&amp;INT($B1264),$B:$B,"&lt;"&amp;(INT($B1264)+1)))</f>
        <v/>
      </c>
      <c r="F1264" s="19" t="str">
        <f aca="false">IF($A1264="","",IF(ISNA(MATCH($H1264,Buffers!$AE:$AE,0)),"Not on Buffers",IF(NOT(ISNUMBER($B1264)),"Needs a date",IF(INT($B1264)&lt;PlanDate,"Past due",IF(INT($B1264)=PlanDate,"Due today",IF(AND(INDEX(Buffers!$L:$L,MATCH($H1264,Buffers!$AE:$AE,0))="Planned",$E1264&gt;0,INT($B1264)&lt;=PlanDate+ROUNDUP(IF(ISNUMBER(SpikeHorizon),SpikeHorizon,INDEX(Buffers!$D:$D,MATCH($H1264,Buffers!$AE:$AE,0))),0),$E1264&gt;=SpikePct*INDEX(Buffers!$P:$P,MATCH($H1264,Buffers!$AE:$AE,0))),"Spike","Not qualified"))))))</f>
        <v/>
      </c>
      <c r="G1264" s="8" t="str">
        <f aca="false">IF($A1264="","",IF(OR($F1264="Past due",$F1264="Due today",$F1264="Spike"),$C1264,0))</f>
        <v/>
      </c>
      <c r="H1264" s="8" t="str">
        <f aca="false">IF($A1264="","",SUBSTITUTE(SUBSTITUTE(SUBSTITUTE($A1264&amp;"","~","~~"),"*","~*"),"?","~?"))</f>
        <v/>
      </c>
    </row>
    <row r="1265" customFormat="false" ht="15" hidden="false" customHeight="false" outlineLevel="0" collapsed="false">
      <c r="A1265" s="11"/>
      <c r="B1265" s="6"/>
      <c r="C1265" s="11"/>
      <c r="D1265" s="11"/>
      <c r="E1265" s="8" t="str">
        <f aca="false">IF($A1265="","",SUMIFS($C:$C,$A:$A,$H1265,$B:$B,"&gt;="&amp;INT($B1265),$B:$B,"&lt;"&amp;(INT($B1265)+1)))</f>
        <v/>
      </c>
      <c r="F1265" s="19" t="str">
        <f aca="false">IF($A1265="","",IF(ISNA(MATCH($H1265,Buffers!$AE:$AE,0)),"Not on Buffers",IF(NOT(ISNUMBER($B1265)),"Needs a date",IF(INT($B1265)&lt;PlanDate,"Past due",IF(INT($B1265)=PlanDate,"Due today",IF(AND(INDEX(Buffers!$L:$L,MATCH($H1265,Buffers!$AE:$AE,0))="Planned",$E1265&gt;0,INT($B1265)&lt;=PlanDate+ROUNDUP(IF(ISNUMBER(SpikeHorizon),SpikeHorizon,INDEX(Buffers!$D:$D,MATCH($H1265,Buffers!$AE:$AE,0))),0),$E1265&gt;=SpikePct*INDEX(Buffers!$P:$P,MATCH($H1265,Buffers!$AE:$AE,0))),"Spike","Not qualified"))))))</f>
        <v/>
      </c>
      <c r="G1265" s="8" t="str">
        <f aca="false">IF($A1265="","",IF(OR($F1265="Past due",$F1265="Due today",$F1265="Spike"),$C1265,0))</f>
        <v/>
      </c>
      <c r="H1265" s="8" t="str">
        <f aca="false">IF($A1265="","",SUBSTITUTE(SUBSTITUTE(SUBSTITUTE($A1265&amp;"","~","~~"),"*","~*"),"?","~?"))</f>
        <v/>
      </c>
    </row>
    <row r="1266" customFormat="false" ht="15" hidden="false" customHeight="false" outlineLevel="0" collapsed="false">
      <c r="A1266" s="11"/>
      <c r="B1266" s="6"/>
      <c r="C1266" s="11"/>
      <c r="D1266" s="11"/>
      <c r="E1266" s="8" t="str">
        <f aca="false">IF($A1266="","",SUMIFS($C:$C,$A:$A,$H1266,$B:$B,"&gt;="&amp;INT($B1266),$B:$B,"&lt;"&amp;(INT($B1266)+1)))</f>
        <v/>
      </c>
      <c r="F1266" s="19" t="str">
        <f aca="false">IF($A1266="","",IF(ISNA(MATCH($H1266,Buffers!$AE:$AE,0)),"Not on Buffers",IF(NOT(ISNUMBER($B1266)),"Needs a date",IF(INT($B1266)&lt;PlanDate,"Past due",IF(INT($B1266)=PlanDate,"Due today",IF(AND(INDEX(Buffers!$L:$L,MATCH($H1266,Buffers!$AE:$AE,0))="Planned",$E1266&gt;0,INT($B1266)&lt;=PlanDate+ROUNDUP(IF(ISNUMBER(SpikeHorizon),SpikeHorizon,INDEX(Buffers!$D:$D,MATCH($H1266,Buffers!$AE:$AE,0))),0),$E1266&gt;=SpikePct*INDEX(Buffers!$P:$P,MATCH($H1266,Buffers!$AE:$AE,0))),"Spike","Not qualified"))))))</f>
        <v/>
      </c>
      <c r="G1266" s="8" t="str">
        <f aca="false">IF($A1266="","",IF(OR($F1266="Past due",$F1266="Due today",$F1266="Spike"),$C1266,0))</f>
        <v/>
      </c>
      <c r="H1266" s="8" t="str">
        <f aca="false">IF($A1266="","",SUBSTITUTE(SUBSTITUTE(SUBSTITUTE($A1266&amp;"","~","~~"),"*","~*"),"?","~?"))</f>
        <v/>
      </c>
    </row>
    <row r="1267" customFormat="false" ht="15" hidden="false" customHeight="false" outlineLevel="0" collapsed="false">
      <c r="A1267" s="11"/>
      <c r="B1267" s="6"/>
      <c r="C1267" s="11"/>
      <c r="D1267" s="11"/>
      <c r="E1267" s="8" t="str">
        <f aca="false">IF($A1267="","",SUMIFS($C:$C,$A:$A,$H1267,$B:$B,"&gt;="&amp;INT($B1267),$B:$B,"&lt;"&amp;(INT($B1267)+1)))</f>
        <v/>
      </c>
      <c r="F1267" s="19" t="str">
        <f aca="false">IF($A1267="","",IF(ISNA(MATCH($H1267,Buffers!$AE:$AE,0)),"Not on Buffers",IF(NOT(ISNUMBER($B1267)),"Needs a date",IF(INT($B1267)&lt;PlanDate,"Past due",IF(INT($B1267)=PlanDate,"Due today",IF(AND(INDEX(Buffers!$L:$L,MATCH($H1267,Buffers!$AE:$AE,0))="Planned",$E1267&gt;0,INT($B1267)&lt;=PlanDate+ROUNDUP(IF(ISNUMBER(SpikeHorizon),SpikeHorizon,INDEX(Buffers!$D:$D,MATCH($H1267,Buffers!$AE:$AE,0))),0),$E1267&gt;=SpikePct*INDEX(Buffers!$P:$P,MATCH($H1267,Buffers!$AE:$AE,0))),"Spike","Not qualified"))))))</f>
        <v/>
      </c>
      <c r="G1267" s="8" t="str">
        <f aca="false">IF($A1267="","",IF(OR($F1267="Past due",$F1267="Due today",$F1267="Spike"),$C1267,0))</f>
        <v/>
      </c>
      <c r="H1267" s="8" t="str">
        <f aca="false">IF($A1267="","",SUBSTITUTE(SUBSTITUTE(SUBSTITUTE($A1267&amp;"","~","~~"),"*","~*"),"?","~?"))</f>
        <v/>
      </c>
    </row>
    <row r="1268" customFormat="false" ht="15" hidden="false" customHeight="false" outlineLevel="0" collapsed="false">
      <c r="A1268" s="11"/>
      <c r="B1268" s="6"/>
      <c r="C1268" s="11"/>
      <c r="D1268" s="11"/>
      <c r="E1268" s="8" t="str">
        <f aca="false">IF($A1268="","",SUMIFS($C:$C,$A:$A,$H1268,$B:$B,"&gt;="&amp;INT($B1268),$B:$B,"&lt;"&amp;(INT($B1268)+1)))</f>
        <v/>
      </c>
      <c r="F1268" s="19" t="str">
        <f aca="false">IF($A1268="","",IF(ISNA(MATCH($H1268,Buffers!$AE:$AE,0)),"Not on Buffers",IF(NOT(ISNUMBER($B1268)),"Needs a date",IF(INT($B1268)&lt;PlanDate,"Past due",IF(INT($B1268)=PlanDate,"Due today",IF(AND(INDEX(Buffers!$L:$L,MATCH($H1268,Buffers!$AE:$AE,0))="Planned",$E1268&gt;0,INT($B1268)&lt;=PlanDate+ROUNDUP(IF(ISNUMBER(SpikeHorizon),SpikeHorizon,INDEX(Buffers!$D:$D,MATCH($H1268,Buffers!$AE:$AE,0))),0),$E1268&gt;=SpikePct*INDEX(Buffers!$P:$P,MATCH($H1268,Buffers!$AE:$AE,0))),"Spike","Not qualified"))))))</f>
        <v/>
      </c>
      <c r="G1268" s="8" t="str">
        <f aca="false">IF($A1268="","",IF(OR($F1268="Past due",$F1268="Due today",$F1268="Spike"),$C1268,0))</f>
        <v/>
      </c>
      <c r="H1268" s="8" t="str">
        <f aca="false">IF($A1268="","",SUBSTITUTE(SUBSTITUTE(SUBSTITUTE($A1268&amp;"","~","~~"),"*","~*"),"?","~?"))</f>
        <v/>
      </c>
    </row>
    <row r="1269" customFormat="false" ht="15" hidden="false" customHeight="false" outlineLevel="0" collapsed="false">
      <c r="A1269" s="11"/>
      <c r="B1269" s="6"/>
      <c r="C1269" s="11"/>
      <c r="D1269" s="11"/>
      <c r="E1269" s="8" t="str">
        <f aca="false">IF($A1269="","",SUMIFS($C:$C,$A:$A,$H1269,$B:$B,"&gt;="&amp;INT($B1269),$B:$B,"&lt;"&amp;(INT($B1269)+1)))</f>
        <v/>
      </c>
      <c r="F1269" s="19" t="str">
        <f aca="false">IF($A1269="","",IF(ISNA(MATCH($H1269,Buffers!$AE:$AE,0)),"Not on Buffers",IF(NOT(ISNUMBER($B1269)),"Needs a date",IF(INT($B1269)&lt;PlanDate,"Past due",IF(INT($B1269)=PlanDate,"Due today",IF(AND(INDEX(Buffers!$L:$L,MATCH($H1269,Buffers!$AE:$AE,0))="Planned",$E1269&gt;0,INT($B1269)&lt;=PlanDate+ROUNDUP(IF(ISNUMBER(SpikeHorizon),SpikeHorizon,INDEX(Buffers!$D:$D,MATCH($H1269,Buffers!$AE:$AE,0))),0),$E1269&gt;=SpikePct*INDEX(Buffers!$P:$P,MATCH($H1269,Buffers!$AE:$AE,0))),"Spike","Not qualified"))))))</f>
        <v/>
      </c>
      <c r="G1269" s="8" t="str">
        <f aca="false">IF($A1269="","",IF(OR($F1269="Past due",$F1269="Due today",$F1269="Spike"),$C1269,0))</f>
        <v/>
      </c>
      <c r="H1269" s="8" t="str">
        <f aca="false">IF($A1269="","",SUBSTITUTE(SUBSTITUTE(SUBSTITUTE($A1269&amp;"","~","~~"),"*","~*"),"?","~?"))</f>
        <v/>
      </c>
    </row>
    <row r="1270" customFormat="false" ht="15" hidden="false" customHeight="false" outlineLevel="0" collapsed="false">
      <c r="A1270" s="11"/>
      <c r="B1270" s="6"/>
      <c r="C1270" s="11"/>
      <c r="D1270" s="11"/>
      <c r="E1270" s="8" t="str">
        <f aca="false">IF($A1270="","",SUMIFS($C:$C,$A:$A,$H1270,$B:$B,"&gt;="&amp;INT($B1270),$B:$B,"&lt;"&amp;(INT($B1270)+1)))</f>
        <v/>
      </c>
      <c r="F1270" s="19" t="str">
        <f aca="false">IF($A1270="","",IF(ISNA(MATCH($H1270,Buffers!$AE:$AE,0)),"Not on Buffers",IF(NOT(ISNUMBER($B1270)),"Needs a date",IF(INT($B1270)&lt;PlanDate,"Past due",IF(INT($B1270)=PlanDate,"Due today",IF(AND(INDEX(Buffers!$L:$L,MATCH($H1270,Buffers!$AE:$AE,0))="Planned",$E1270&gt;0,INT($B1270)&lt;=PlanDate+ROUNDUP(IF(ISNUMBER(SpikeHorizon),SpikeHorizon,INDEX(Buffers!$D:$D,MATCH($H1270,Buffers!$AE:$AE,0))),0),$E1270&gt;=SpikePct*INDEX(Buffers!$P:$P,MATCH($H1270,Buffers!$AE:$AE,0))),"Spike","Not qualified"))))))</f>
        <v/>
      </c>
      <c r="G1270" s="8" t="str">
        <f aca="false">IF($A1270="","",IF(OR($F1270="Past due",$F1270="Due today",$F1270="Spike"),$C1270,0))</f>
        <v/>
      </c>
      <c r="H1270" s="8" t="str">
        <f aca="false">IF($A1270="","",SUBSTITUTE(SUBSTITUTE(SUBSTITUTE($A1270&amp;"","~","~~"),"*","~*"),"?","~?"))</f>
        <v/>
      </c>
    </row>
    <row r="1271" customFormat="false" ht="15" hidden="false" customHeight="false" outlineLevel="0" collapsed="false">
      <c r="A1271" s="11"/>
      <c r="B1271" s="6"/>
      <c r="C1271" s="11"/>
      <c r="D1271" s="11"/>
      <c r="E1271" s="8" t="str">
        <f aca="false">IF($A1271="","",SUMIFS($C:$C,$A:$A,$H1271,$B:$B,"&gt;="&amp;INT($B1271),$B:$B,"&lt;"&amp;(INT($B1271)+1)))</f>
        <v/>
      </c>
      <c r="F1271" s="19" t="str">
        <f aca="false">IF($A1271="","",IF(ISNA(MATCH($H1271,Buffers!$AE:$AE,0)),"Not on Buffers",IF(NOT(ISNUMBER($B1271)),"Needs a date",IF(INT($B1271)&lt;PlanDate,"Past due",IF(INT($B1271)=PlanDate,"Due today",IF(AND(INDEX(Buffers!$L:$L,MATCH($H1271,Buffers!$AE:$AE,0))="Planned",$E1271&gt;0,INT($B1271)&lt;=PlanDate+ROUNDUP(IF(ISNUMBER(SpikeHorizon),SpikeHorizon,INDEX(Buffers!$D:$D,MATCH($H1271,Buffers!$AE:$AE,0))),0),$E1271&gt;=SpikePct*INDEX(Buffers!$P:$P,MATCH($H1271,Buffers!$AE:$AE,0))),"Spike","Not qualified"))))))</f>
        <v/>
      </c>
      <c r="G1271" s="8" t="str">
        <f aca="false">IF($A1271="","",IF(OR($F1271="Past due",$F1271="Due today",$F1271="Spike"),$C1271,0))</f>
        <v/>
      </c>
      <c r="H1271" s="8" t="str">
        <f aca="false">IF($A1271="","",SUBSTITUTE(SUBSTITUTE(SUBSTITUTE($A1271&amp;"","~","~~"),"*","~*"),"?","~?"))</f>
        <v/>
      </c>
    </row>
    <row r="1272" customFormat="false" ht="15" hidden="false" customHeight="false" outlineLevel="0" collapsed="false">
      <c r="A1272" s="11"/>
      <c r="B1272" s="6"/>
      <c r="C1272" s="11"/>
      <c r="D1272" s="11"/>
      <c r="E1272" s="8" t="str">
        <f aca="false">IF($A1272="","",SUMIFS($C:$C,$A:$A,$H1272,$B:$B,"&gt;="&amp;INT($B1272),$B:$B,"&lt;"&amp;(INT($B1272)+1)))</f>
        <v/>
      </c>
      <c r="F1272" s="19" t="str">
        <f aca="false">IF($A1272="","",IF(ISNA(MATCH($H1272,Buffers!$AE:$AE,0)),"Not on Buffers",IF(NOT(ISNUMBER($B1272)),"Needs a date",IF(INT($B1272)&lt;PlanDate,"Past due",IF(INT($B1272)=PlanDate,"Due today",IF(AND(INDEX(Buffers!$L:$L,MATCH($H1272,Buffers!$AE:$AE,0))="Planned",$E1272&gt;0,INT($B1272)&lt;=PlanDate+ROUNDUP(IF(ISNUMBER(SpikeHorizon),SpikeHorizon,INDEX(Buffers!$D:$D,MATCH($H1272,Buffers!$AE:$AE,0))),0),$E1272&gt;=SpikePct*INDEX(Buffers!$P:$P,MATCH($H1272,Buffers!$AE:$AE,0))),"Spike","Not qualified"))))))</f>
        <v/>
      </c>
      <c r="G1272" s="8" t="str">
        <f aca="false">IF($A1272="","",IF(OR($F1272="Past due",$F1272="Due today",$F1272="Spike"),$C1272,0))</f>
        <v/>
      </c>
      <c r="H1272" s="8" t="str">
        <f aca="false">IF($A1272="","",SUBSTITUTE(SUBSTITUTE(SUBSTITUTE($A1272&amp;"","~","~~"),"*","~*"),"?","~?"))</f>
        <v/>
      </c>
    </row>
    <row r="1273" customFormat="false" ht="15" hidden="false" customHeight="false" outlineLevel="0" collapsed="false">
      <c r="A1273" s="11"/>
      <c r="B1273" s="6"/>
      <c r="C1273" s="11"/>
      <c r="D1273" s="11"/>
      <c r="E1273" s="8" t="str">
        <f aca="false">IF($A1273="","",SUMIFS($C:$C,$A:$A,$H1273,$B:$B,"&gt;="&amp;INT($B1273),$B:$B,"&lt;"&amp;(INT($B1273)+1)))</f>
        <v/>
      </c>
      <c r="F1273" s="19" t="str">
        <f aca="false">IF($A1273="","",IF(ISNA(MATCH($H1273,Buffers!$AE:$AE,0)),"Not on Buffers",IF(NOT(ISNUMBER($B1273)),"Needs a date",IF(INT($B1273)&lt;PlanDate,"Past due",IF(INT($B1273)=PlanDate,"Due today",IF(AND(INDEX(Buffers!$L:$L,MATCH($H1273,Buffers!$AE:$AE,0))="Planned",$E1273&gt;0,INT($B1273)&lt;=PlanDate+ROUNDUP(IF(ISNUMBER(SpikeHorizon),SpikeHorizon,INDEX(Buffers!$D:$D,MATCH($H1273,Buffers!$AE:$AE,0))),0),$E1273&gt;=SpikePct*INDEX(Buffers!$P:$P,MATCH($H1273,Buffers!$AE:$AE,0))),"Spike","Not qualified"))))))</f>
        <v/>
      </c>
      <c r="G1273" s="8" t="str">
        <f aca="false">IF($A1273="","",IF(OR($F1273="Past due",$F1273="Due today",$F1273="Spike"),$C1273,0))</f>
        <v/>
      </c>
      <c r="H1273" s="8" t="str">
        <f aca="false">IF($A1273="","",SUBSTITUTE(SUBSTITUTE(SUBSTITUTE($A1273&amp;"","~","~~"),"*","~*"),"?","~?"))</f>
        <v/>
      </c>
    </row>
    <row r="1274" customFormat="false" ht="15" hidden="false" customHeight="false" outlineLevel="0" collapsed="false">
      <c r="A1274" s="11"/>
      <c r="B1274" s="6"/>
      <c r="C1274" s="11"/>
      <c r="D1274" s="11"/>
      <c r="E1274" s="8" t="str">
        <f aca="false">IF($A1274="","",SUMIFS($C:$C,$A:$A,$H1274,$B:$B,"&gt;="&amp;INT($B1274),$B:$B,"&lt;"&amp;(INT($B1274)+1)))</f>
        <v/>
      </c>
      <c r="F1274" s="19" t="str">
        <f aca="false">IF($A1274="","",IF(ISNA(MATCH($H1274,Buffers!$AE:$AE,0)),"Not on Buffers",IF(NOT(ISNUMBER($B1274)),"Needs a date",IF(INT($B1274)&lt;PlanDate,"Past due",IF(INT($B1274)=PlanDate,"Due today",IF(AND(INDEX(Buffers!$L:$L,MATCH($H1274,Buffers!$AE:$AE,0))="Planned",$E1274&gt;0,INT($B1274)&lt;=PlanDate+ROUNDUP(IF(ISNUMBER(SpikeHorizon),SpikeHorizon,INDEX(Buffers!$D:$D,MATCH($H1274,Buffers!$AE:$AE,0))),0),$E1274&gt;=SpikePct*INDEX(Buffers!$P:$P,MATCH($H1274,Buffers!$AE:$AE,0))),"Spike","Not qualified"))))))</f>
        <v/>
      </c>
      <c r="G1274" s="8" t="str">
        <f aca="false">IF($A1274="","",IF(OR($F1274="Past due",$F1274="Due today",$F1274="Spike"),$C1274,0))</f>
        <v/>
      </c>
      <c r="H1274" s="8" t="str">
        <f aca="false">IF($A1274="","",SUBSTITUTE(SUBSTITUTE(SUBSTITUTE($A1274&amp;"","~","~~"),"*","~*"),"?","~?"))</f>
        <v/>
      </c>
    </row>
    <row r="1275" customFormat="false" ht="15" hidden="false" customHeight="false" outlineLevel="0" collapsed="false">
      <c r="A1275" s="11"/>
      <c r="B1275" s="6"/>
      <c r="C1275" s="11"/>
      <c r="D1275" s="11"/>
      <c r="E1275" s="8" t="str">
        <f aca="false">IF($A1275="","",SUMIFS($C:$C,$A:$A,$H1275,$B:$B,"&gt;="&amp;INT($B1275),$B:$B,"&lt;"&amp;(INT($B1275)+1)))</f>
        <v/>
      </c>
      <c r="F1275" s="19" t="str">
        <f aca="false">IF($A1275="","",IF(ISNA(MATCH($H1275,Buffers!$AE:$AE,0)),"Not on Buffers",IF(NOT(ISNUMBER($B1275)),"Needs a date",IF(INT($B1275)&lt;PlanDate,"Past due",IF(INT($B1275)=PlanDate,"Due today",IF(AND(INDEX(Buffers!$L:$L,MATCH($H1275,Buffers!$AE:$AE,0))="Planned",$E1275&gt;0,INT($B1275)&lt;=PlanDate+ROUNDUP(IF(ISNUMBER(SpikeHorizon),SpikeHorizon,INDEX(Buffers!$D:$D,MATCH($H1275,Buffers!$AE:$AE,0))),0),$E1275&gt;=SpikePct*INDEX(Buffers!$P:$P,MATCH($H1275,Buffers!$AE:$AE,0))),"Spike","Not qualified"))))))</f>
        <v/>
      </c>
      <c r="G1275" s="8" t="str">
        <f aca="false">IF($A1275="","",IF(OR($F1275="Past due",$F1275="Due today",$F1275="Spike"),$C1275,0))</f>
        <v/>
      </c>
      <c r="H1275" s="8" t="str">
        <f aca="false">IF($A1275="","",SUBSTITUTE(SUBSTITUTE(SUBSTITUTE($A1275&amp;"","~","~~"),"*","~*"),"?","~?"))</f>
        <v/>
      </c>
    </row>
    <row r="1276" customFormat="false" ht="15" hidden="false" customHeight="false" outlineLevel="0" collapsed="false">
      <c r="A1276" s="11"/>
      <c r="B1276" s="6"/>
      <c r="C1276" s="11"/>
      <c r="D1276" s="11"/>
      <c r="E1276" s="8" t="str">
        <f aca="false">IF($A1276="","",SUMIFS($C:$C,$A:$A,$H1276,$B:$B,"&gt;="&amp;INT($B1276),$B:$B,"&lt;"&amp;(INT($B1276)+1)))</f>
        <v/>
      </c>
      <c r="F1276" s="19" t="str">
        <f aca="false">IF($A1276="","",IF(ISNA(MATCH($H1276,Buffers!$AE:$AE,0)),"Not on Buffers",IF(NOT(ISNUMBER($B1276)),"Needs a date",IF(INT($B1276)&lt;PlanDate,"Past due",IF(INT($B1276)=PlanDate,"Due today",IF(AND(INDEX(Buffers!$L:$L,MATCH($H1276,Buffers!$AE:$AE,0))="Planned",$E1276&gt;0,INT($B1276)&lt;=PlanDate+ROUNDUP(IF(ISNUMBER(SpikeHorizon),SpikeHorizon,INDEX(Buffers!$D:$D,MATCH($H1276,Buffers!$AE:$AE,0))),0),$E1276&gt;=SpikePct*INDEX(Buffers!$P:$P,MATCH($H1276,Buffers!$AE:$AE,0))),"Spike","Not qualified"))))))</f>
        <v/>
      </c>
      <c r="G1276" s="8" t="str">
        <f aca="false">IF($A1276="","",IF(OR($F1276="Past due",$F1276="Due today",$F1276="Spike"),$C1276,0))</f>
        <v/>
      </c>
      <c r="H1276" s="8" t="str">
        <f aca="false">IF($A1276="","",SUBSTITUTE(SUBSTITUTE(SUBSTITUTE($A1276&amp;"","~","~~"),"*","~*"),"?","~?"))</f>
        <v/>
      </c>
    </row>
    <row r="1277" customFormat="false" ht="15" hidden="false" customHeight="false" outlineLevel="0" collapsed="false">
      <c r="A1277" s="11"/>
      <c r="B1277" s="6"/>
      <c r="C1277" s="11"/>
      <c r="D1277" s="11"/>
      <c r="E1277" s="8" t="str">
        <f aca="false">IF($A1277="","",SUMIFS($C:$C,$A:$A,$H1277,$B:$B,"&gt;="&amp;INT($B1277),$B:$B,"&lt;"&amp;(INT($B1277)+1)))</f>
        <v/>
      </c>
      <c r="F1277" s="19" t="str">
        <f aca="false">IF($A1277="","",IF(ISNA(MATCH($H1277,Buffers!$AE:$AE,0)),"Not on Buffers",IF(NOT(ISNUMBER($B1277)),"Needs a date",IF(INT($B1277)&lt;PlanDate,"Past due",IF(INT($B1277)=PlanDate,"Due today",IF(AND(INDEX(Buffers!$L:$L,MATCH($H1277,Buffers!$AE:$AE,0))="Planned",$E1277&gt;0,INT($B1277)&lt;=PlanDate+ROUNDUP(IF(ISNUMBER(SpikeHorizon),SpikeHorizon,INDEX(Buffers!$D:$D,MATCH($H1277,Buffers!$AE:$AE,0))),0),$E1277&gt;=SpikePct*INDEX(Buffers!$P:$P,MATCH($H1277,Buffers!$AE:$AE,0))),"Spike","Not qualified"))))))</f>
        <v/>
      </c>
      <c r="G1277" s="8" t="str">
        <f aca="false">IF($A1277="","",IF(OR($F1277="Past due",$F1277="Due today",$F1277="Spike"),$C1277,0))</f>
        <v/>
      </c>
      <c r="H1277" s="8" t="str">
        <f aca="false">IF($A1277="","",SUBSTITUTE(SUBSTITUTE(SUBSTITUTE($A1277&amp;"","~","~~"),"*","~*"),"?","~?"))</f>
        <v/>
      </c>
    </row>
    <row r="1278" customFormat="false" ht="15" hidden="false" customHeight="false" outlineLevel="0" collapsed="false">
      <c r="A1278" s="11"/>
      <c r="B1278" s="6"/>
      <c r="C1278" s="11"/>
      <c r="D1278" s="11"/>
      <c r="E1278" s="8" t="str">
        <f aca="false">IF($A1278="","",SUMIFS($C:$C,$A:$A,$H1278,$B:$B,"&gt;="&amp;INT($B1278),$B:$B,"&lt;"&amp;(INT($B1278)+1)))</f>
        <v/>
      </c>
      <c r="F1278" s="19" t="str">
        <f aca="false">IF($A1278="","",IF(ISNA(MATCH($H1278,Buffers!$AE:$AE,0)),"Not on Buffers",IF(NOT(ISNUMBER($B1278)),"Needs a date",IF(INT($B1278)&lt;PlanDate,"Past due",IF(INT($B1278)=PlanDate,"Due today",IF(AND(INDEX(Buffers!$L:$L,MATCH($H1278,Buffers!$AE:$AE,0))="Planned",$E1278&gt;0,INT($B1278)&lt;=PlanDate+ROUNDUP(IF(ISNUMBER(SpikeHorizon),SpikeHorizon,INDEX(Buffers!$D:$D,MATCH($H1278,Buffers!$AE:$AE,0))),0),$E1278&gt;=SpikePct*INDEX(Buffers!$P:$P,MATCH($H1278,Buffers!$AE:$AE,0))),"Spike","Not qualified"))))))</f>
        <v/>
      </c>
      <c r="G1278" s="8" t="str">
        <f aca="false">IF($A1278="","",IF(OR($F1278="Past due",$F1278="Due today",$F1278="Spike"),$C1278,0))</f>
        <v/>
      </c>
      <c r="H1278" s="8" t="str">
        <f aca="false">IF($A1278="","",SUBSTITUTE(SUBSTITUTE(SUBSTITUTE($A1278&amp;"","~","~~"),"*","~*"),"?","~?"))</f>
        <v/>
      </c>
    </row>
    <row r="1279" customFormat="false" ht="15" hidden="false" customHeight="false" outlineLevel="0" collapsed="false">
      <c r="A1279" s="11"/>
      <c r="B1279" s="6"/>
      <c r="C1279" s="11"/>
      <c r="D1279" s="11"/>
      <c r="E1279" s="8" t="str">
        <f aca="false">IF($A1279="","",SUMIFS($C:$C,$A:$A,$H1279,$B:$B,"&gt;="&amp;INT($B1279),$B:$B,"&lt;"&amp;(INT($B1279)+1)))</f>
        <v/>
      </c>
      <c r="F1279" s="19" t="str">
        <f aca="false">IF($A1279="","",IF(ISNA(MATCH($H1279,Buffers!$AE:$AE,0)),"Not on Buffers",IF(NOT(ISNUMBER($B1279)),"Needs a date",IF(INT($B1279)&lt;PlanDate,"Past due",IF(INT($B1279)=PlanDate,"Due today",IF(AND(INDEX(Buffers!$L:$L,MATCH($H1279,Buffers!$AE:$AE,0))="Planned",$E1279&gt;0,INT($B1279)&lt;=PlanDate+ROUNDUP(IF(ISNUMBER(SpikeHorizon),SpikeHorizon,INDEX(Buffers!$D:$D,MATCH($H1279,Buffers!$AE:$AE,0))),0),$E1279&gt;=SpikePct*INDEX(Buffers!$P:$P,MATCH($H1279,Buffers!$AE:$AE,0))),"Spike","Not qualified"))))))</f>
        <v/>
      </c>
      <c r="G1279" s="8" t="str">
        <f aca="false">IF($A1279="","",IF(OR($F1279="Past due",$F1279="Due today",$F1279="Spike"),$C1279,0))</f>
        <v/>
      </c>
      <c r="H1279" s="8" t="str">
        <f aca="false">IF($A1279="","",SUBSTITUTE(SUBSTITUTE(SUBSTITUTE($A1279&amp;"","~","~~"),"*","~*"),"?","~?"))</f>
        <v/>
      </c>
    </row>
    <row r="1280" customFormat="false" ht="15" hidden="false" customHeight="false" outlineLevel="0" collapsed="false">
      <c r="A1280" s="11"/>
      <c r="B1280" s="6"/>
      <c r="C1280" s="11"/>
      <c r="D1280" s="11"/>
      <c r="E1280" s="8" t="str">
        <f aca="false">IF($A1280="","",SUMIFS($C:$C,$A:$A,$H1280,$B:$B,"&gt;="&amp;INT($B1280),$B:$B,"&lt;"&amp;(INT($B1280)+1)))</f>
        <v/>
      </c>
      <c r="F1280" s="19" t="str">
        <f aca="false">IF($A1280="","",IF(ISNA(MATCH($H1280,Buffers!$AE:$AE,0)),"Not on Buffers",IF(NOT(ISNUMBER($B1280)),"Needs a date",IF(INT($B1280)&lt;PlanDate,"Past due",IF(INT($B1280)=PlanDate,"Due today",IF(AND(INDEX(Buffers!$L:$L,MATCH($H1280,Buffers!$AE:$AE,0))="Planned",$E1280&gt;0,INT($B1280)&lt;=PlanDate+ROUNDUP(IF(ISNUMBER(SpikeHorizon),SpikeHorizon,INDEX(Buffers!$D:$D,MATCH($H1280,Buffers!$AE:$AE,0))),0),$E1280&gt;=SpikePct*INDEX(Buffers!$P:$P,MATCH($H1280,Buffers!$AE:$AE,0))),"Spike","Not qualified"))))))</f>
        <v/>
      </c>
      <c r="G1280" s="8" t="str">
        <f aca="false">IF($A1280="","",IF(OR($F1280="Past due",$F1280="Due today",$F1280="Spike"),$C1280,0))</f>
        <v/>
      </c>
      <c r="H1280" s="8" t="str">
        <f aca="false">IF($A1280="","",SUBSTITUTE(SUBSTITUTE(SUBSTITUTE($A1280&amp;"","~","~~"),"*","~*"),"?","~?"))</f>
        <v/>
      </c>
    </row>
    <row r="1281" customFormat="false" ht="15" hidden="false" customHeight="false" outlineLevel="0" collapsed="false">
      <c r="A1281" s="11"/>
      <c r="B1281" s="6"/>
      <c r="C1281" s="11"/>
      <c r="D1281" s="11"/>
      <c r="E1281" s="8" t="str">
        <f aca="false">IF($A1281="","",SUMIFS($C:$C,$A:$A,$H1281,$B:$B,"&gt;="&amp;INT($B1281),$B:$B,"&lt;"&amp;(INT($B1281)+1)))</f>
        <v/>
      </c>
      <c r="F1281" s="19" t="str">
        <f aca="false">IF($A1281="","",IF(ISNA(MATCH($H1281,Buffers!$AE:$AE,0)),"Not on Buffers",IF(NOT(ISNUMBER($B1281)),"Needs a date",IF(INT($B1281)&lt;PlanDate,"Past due",IF(INT($B1281)=PlanDate,"Due today",IF(AND(INDEX(Buffers!$L:$L,MATCH($H1281,Buffers!$AE:$AE,0))="Planned",$E1281&gt;0,INT($B1281)&lt;=PlanDate+ROUNDUP(IF(ISNUMBER(SpikeHorizon),SpikeHorizon,INDEX(Buffers!$D:$D,MATCH($H1281,Buffers!$AE:$AE,0))),0),$E1281&gt;=SpikePct*INDEX(Buffers!$P:$P,MATCH($H1281,Buffers!$AE:$AE,0))),"Spike","Not qualified"))))))</f>
        <v/>
      </c>
      <c r="G1281" s="8" t="str">
        <f aca="false">IF($A1281="","",IF(OR($F1281="Past due",$F1281="Due today",$F1281="Spike"),$C1281,0))</f>
        <v/>
      </c>
      <c r="H1281" s="8" t="str">
        <f aca="false">IF($A1281="","",SUBSTITUTE(SUBSTITUTE(SUBSTITUTE($A1281&amp;"","~","~~"),"*","~*"),"?","~?"))</f>
        <v/>
      </c>
    </row>
    <row r="1282" customFormat="false" ht="15" hidden="false" customHeight="false" outlineLevel="0" collapsed="false">
      <c r="A1282" s="11"/>
      <c r="B1282" s="6"/>
      <c r="C1282" s="11"/>
      <c r="D1282" s="11"/>
      <c r="E1282" s="8" t="str">
        <f aca="false">IF($A1282="","",SUMIFS($C:$C,$A:$A,$H1282,$B:$B,"&gt;="&amp;INT($B1282),$B:$B,"&lt;"&amp;(INT($B1282)+1)))</f>
        <v/>
      </c>
      <c r="F1282" s="19" t="str">
        <f aca="false">IF($A1282="","",IF(ISNA(MATCH($H1282,Buffers!$AE:$AE,0)),"Not on Buffers",IF(NOT(ISNUMBER($B1282)),"Needs a date",IF(INT($B1282)&lt;PlanDate,"Past due",IF(INT($B1282)=PlanDate,"Due today",IF(AND(INDEX(Buffers!$L:$L,MATCH($H1282,Buffers!$AE:$AE,0))="Planned",$E1282&gt;0,INT($B1282)&lt;=PlanDate+ROUNDUP(IF(ISNUMBER(SpikeHorizon),SpikeHorizon,INDEX(Buffers!$D:$D,MATCH($H1282,Buffers!$AE:$AE,0))),0),$E1282&gt;=SpikePct*INDEX(Buffers!$P:$P,MATCH($H1282,Buffers!$AE:$AE,0))),"Spike","Not qualified"))))))</f>
        <v/>
      </c>
      <c r="G1282" s="8" t="str">
        <f aca="false">IF($A1282="","",IF(OR($F1282="Past due",$F1282="Due today",$F1282="Spike"),$C1282,0))</f>
        <v/>
      </c>
      <c r="H1282" s="8" t="str">
        <f aca="false">IF($A1282="","",SUBSTITUTE(SUBSTITUTE(SUBSTITUTE($A1282&amp;"","~","~~"),"*","~*"),"?","~?"))</f>
        <v/>
      </c>
    </row>
    <row r="1283" customFormat="false" ht="15" hidden="false" customHeight="false" outlineLevel="0" collapsed="false">
      <c r="A1283" s="11"/>
      <c r="B1283" s="6"/>
      <c r="C1283" s="11"/>
      <c r="D1283" s="11"/>
      <c r="E1283" s="8" t="str">
        <f aca="false">IF($A1283="","",SUMIFS($C:$C,$A:$A,$H1283,$B:$B,"&gt;="&amp;INT($B1283),$B:$B,"&lt;"&amp;(INT($B1283)+1)))</f>
        <v/>
      </c>
      <c r="F1283" s="19" t="str">
        <f aca="false">IF($A1283="","",IF(ISNA(MATCH($H1283,Buffers!$AE:$AE,0)),"Not on Buffers",IF(NOT(ISNUMBER($B1283)),"Needs a date",IF(INT($B1283)&lt;PlanDate,"Past due",IF(INT($B1283)=PlanDate,"Due today",IF(AND(INDEX(Buffers!$L:$L,MATCH($H1283,Buffers!$AE:$AE,0))="Planned",$E1283&gt;0,INT($B1283)&lt;=PlanDate+ROUNDUP(IF(ISNUMBER(SpikeHorizon),SpikeHorizon,INDEX(Buffers!$D:$D,MATCH($H1283,Buffers!$AE:$AE,0))),0),$E1283&gt;=SpikePct*INDEX(Buffers!$P:$P,MATCH($H1283,Buffers!$AE:$AE,0))),"Spike","Not qualified"))))))</f>
        <v/>
      </c>
      <c r="G1283" s="8" t="str">
        <f aca="false">IF($A1283="","",IF(OR($F1283="Past due",$F1283="Due today",$F1283="Spike"),$C1283,0))</f>
        <v/>
      </c>
      <c r="H1283" s="8" t="str">
        <f aca="false">IF($A1283="","",SUBSTITUTE(SUBSTITUTE(SUBSTITUTE($A1283&amp;"","~","~~"),"*","~*"),"?","~?"))</f>
        <v/>
      </c>
    </row>
    <row r="1284" customFormat="false" ht="15" hidden="false" customHeight="false" outlineLevel="0" collapsed="false">
      <c r="A1284" s="11"/>
      <c r="B1284" s="6"/>
      <c r="C1284" s="11"/>
      <c r="D1284" s="11"/>
      <c r="E1284" s="8" t="str">
        <f aca="false">IF($A1284="","",SUMIFS($C:$C,$A:$A,$H1284,$B:$B,"&gt;="&amp;INT($B1284),$B:$B,"&lt;"&amp;(INT($B1284)+1)))</f>
        <v/>
      </c>
      <c r="F1284" s="19" t="str">
        <f aca="false">IF($A1284="","",IF(ISNA(MATCH($H1284,Buffers!$AE:$AE,0)),"Not on Buffers",IF(NOT(ISNUMBER($B1284)),"Needs a date",IF(INT($B1284)&lt;PlanDate,"Past due",IF(INT($B1284)=PlanDate,"Due today",IF(AND(INDEX(Buffers!$L:$L,MATCH($H1284,Buffers!$AE:$AE,0))="Planned",$E1284&gt;0,INT($B1284)&lt;=PlanDate+ROUNDUP(IF(ISNUMBER(SpikeHorizon),SpikeHorizon,INDEX(Buffers!$D:$D,MATCH($H1284,Buffers!$AE:$AE,0))),0),$E1284&gt;=SpikePct*INDEX(Buffers!$P:$P,MATCH($H1284,Buffers!$AE:$AE,0))),"Spike","Not qualified"))))))</f>
        <v/>
      </c>
      <c r="G1284" s="8" t="str">
        <f aca="false">IF($A1284="","",IF(OR($F1284="Past due",$F1284="Due today",$F1284="Spike"),$C1284,0))</f>
        <v/>
      </c>
      <c r="H1284" s="8" t="str">
        <f aca="false">IF($A1284="","",SUBSTITUTE(SUBSTITUTE(SUBSTITUTE($A1284&amp;"","~","~~"),"*","~*"),"?","~?"))</f>
        <v/>
      </c>
    </row>
    <row r="1285" customFormat="false" ht="15" hidden="false" customHeight="false" outlineLevel="0" collapsed="false">
      <c r="A1285" s="11"/>
      <c r="B1285" s="6"/>
      <c r="C1285" s="11"/>
      <c r="D1285" s="11"/>
      <c r="E1285" s="8" t="str">
        <f aca="false">IF($A1285="","",SUMIFS($C:$C,$A:$A,$H1285,$B:$B,"&gt;="&amp;INT($B1285),$B:$B,"&lt;"&amp;(INT($B1285)+1)))</f>
        <v/>
      </c>
      <c r="F1285" s="19" t="str">
        <f aca="false">IF($A1285="","",IF(ISNA(MATCH($H1285,Buffers!$AE:$AE,0)),"Not on Buffers",IF(NOT(ISNUMBER($B1285)),"Needs a date",IF(INT($B1285)&lt;PlanDate,"Past due",IF(INT($B1285)=PlanDate,"Due today",IF(AND(INDEX(Buffers!$L:$L,MATCH($H1285,Buffers!$AE:$AE,0))="Planned",$E1285&gt;0,INT($B1285)&lt;=PlanDate+ROUNDUP(IF(ISNUMBER(SpikeHorizon),SpikeHorizon,INDEX(Buffers!$D:$D,MATCH($H1285,Buffers!$AE:$AE,0))),0),$E1285&gt;=SpikePct*INDEX(Buffers!$P:$P,MATCH($H1285,Buffers!$AE:$AE,0))),"Spike","Not qualified"))))))</f>
        <v/>
      </c>
      <c r="G1285" s="8" t="str">
        <f aca="false">IF($A1285="","",IF(OR($F1285="Past due",$F1285="Due today",$F1285="Spike"),$C1285,0))</f>
        <v/>
      </c>
      <c r="H1285" s="8" t="str">
        <f aca="false">IF($A1285="","",SUBSTITUTE(SUBSTITUTE(SUBSTITUTE($A1285&amp;"","~","~~"),"*","~*"),"?","~?"))</f>
        <v/>
      </c>
    </row>
    <row r="1286" customFormat="false" ht="15" hidden="false" customHeight="false" outlineLevel="0" collapsed="false">
      <c r="A1286" s="11"/>
      <c r="B1286" s="6"/>
      <c r="C1286" s="11"/>
      <c r="D1286" s="11"/>
      <c r="E1286" s="8" t="str">
        <f aca="false">IF($A1286="","",SUMIFS($C:$C,$A:$A,$H1286,$B:$B,"&gt;="&amp;INT($B1286),$B:$B,"&lt;"&amp;(INT($B1286)+1)))</f>
        <v/>
      </c>
      <c r="F1286" s="19" t="str">
        <f aca="false">IF($A1286="","",IF(ISNA(MATCH($H1286,Buffers!$AE:$AE,0)),"Not on Buffers",IF(NOT(ISNUMBER($B1286)),"Needs a date",IF(INT($B1286)&lt;PlanDate,"Past due",IF(INT($B1286)=PlanDate,"Due today",IF(AND(INDEX(Buffers!$L:$L,MATCH($H1286,Buffers!$AE:$AE,0))="Planned",$E1286&gt;0,INT($B1286)&lt;=PlanDate+ROUNDUP(IF(ISNUMBER(SpikeHorizon),SpikeHorizon,INDEX(Buffers!$D:$D,MATCH($H1286,Buffers!$AE:$AE,0))),0),$E1286&gt;=SpikePct*INDEX(Buffers!$P:$P,MATCH($H1286,Buffers!$AE:$AE,0))),"Spike","Not qualified"))))))</f>
        <v/>
      </c>
      <c r="G1286" s="8" t="str">
        <f aca="false">IF($A1286="","",IF(OR($F1286="Past due",$F1286="Due today",$F1286="Spike"),$C1286,0))</f>
        <v/>
      </c>
      <c r="H1286" s="8" t="str">
        <f aca="false">IF($A1286="","",SUBSTITUTE(SUBSTITUTE(SUBSTITUTE($A1286&amp;"","~","~~"),"*","~*"),"?","~?"))</f>
        <v/>
      </c>
    </row>
    <row r="1287" customFormat="false" ht="15" hidden="false" customHeight="false" outlineLevel="0" collapsed="false">
      <c r="A1287" s="11"/>
      <c r="B1287" s="6"/>
      <c r="C1287" s="11"/>
      <c r="D1287" s="11"/>
      <c r="E1287" s="8" t="str">
        <f aca="false">IF($A1287="","",SUMIFS($C:$C,$A:$A,$H1287,$B:$B,"&gt;="&amp;INT($B1287),$B:$B,"&lt;"&amp;(INT($B1287)+1)))</f>
        <v/>
      </c>
      <c r="F1287" s="19" t="str">
        <f aca="false">IF($A1287="","",IF(ISNA(MATCH($H1287,Buffers!$AE:$AE,0)),"Not on Buffers",IF(NOT(ISNUMBER($B1287)),"Needs a date",IF(INT($B1287)&lt;PlanDate,"Past due",IF(INT($B1287)=PlanDate,"Due today",IF(AND(INDEX(Buffers!$L:$L,MATCH($H1287,Buffers!$AE:$AE,0))="Planned",$E1287&gt;0,INT($B1287)&lt;=PlanDate+ROUNDUP(IF(ISNUMBER(SpikeHorizon),SpikeHorizon,INDEX(Buffers!$D:$D,MATCH($H1287,Buffers!$AE:$AE,0))),0),$E1287&gt;=SpikePct*INDEX(Buffers!$P:$P,MATCH($H1287,Buffers!$AE:$AE,0))),"Spike","Not qualified"))))))</f>
        <v/>
      </c>
      <c r="G1287" s="8" t="str">
        <f aca="false">IF($A1287="","",IF(OR($F1287="Past due",$F1287="Due today",$F1287="Spike"),$C1287,0))</f>
        <v/>
      </c>
      <c r="H1287" s="8" t="str">
        <f aca="false">IF($A1287="","",SUBSTITUTE(SUBSTITUTE(SUBSTITUTE($A1287&amp;"","~","~~"),"*","~*"),"?","~?"))</f>
        <v/>
      </c>
    </row>
    <row r="1288" customFormat="false" ht="15" hidden="false" customHeight="false" outlineLevel="0" collapsed="false">
      <c r="A1288" s="11"/>
      <c r="B1288" s="6"/>
      <c r="C1288" s="11"/>
      <c r="D1288" s="11"/>
      <c r="E1288" s="8" t="str">
        <f aca="false">IF($A1288="","",SUMIFS($C:$C,$A:$A,$H1288,$B:$B,"&gt;="&amp;INT($B1288),$B:$B,"&lt;"&amp;(INT($B1288)+1)))</f>
        <v/>
      </c>
      <c r="F1288" s="19" t="str">
        <f aca="false">IF($A1288="","",IF(ISNA(MATCH($H1288,Buffers!$AE:$AE,0)),"Not on Buffers",IF(NOT(ISNUMBER($B1288)),"Needs a date",IF(INT($B1288)&lt;PlanDate,"Past due",IF(INT($B1288)=PlanDate,"Due today",IF(AND(INDEX(Buffers!$L:$L,MATCH($H1288,Buffers!$AE:$AE,0))="Planned",$E1288&gt;0,INT($B1288)&lt;=PlanDate+ROUNDUP(IF(ISNUMBER(SpikeHorizon),SpikeHorizon,INDEX(Buffers!$D:$D,MATCH($H1288,Buffers!$AE:$AE,0))),0),$E1288&gt;=SpikePct*INDEX(Buffers!$P:$P,MATCH($H1288,Buffers!$AE:$AE,0))),"Spike","Not qualified"))))))</f>
        <v/>
      </c>
      <c r="G1288" s="8" t="str">
        <f aca="false">IF($A1288="","",IF(OR($F1288="Past due",$F1288="Due today",$F1288="Spike"),$C1288,0))</f>
        <v/>
      </c>
      <c r="H1288" s="8" t="str">
        <f aca="false">IF($A1288="","",SUBSTITUTE(SUBSTITUTE(SUBSTITUTE($A1288&amp;"","~","~~"),"*","~*"),"?","~?"))</f>
        <v/>
      </c>
    </row>
    <row r="1289" customFormat="false" ht="15" hidden="false" customHeight="false" outlineLevel="0" collapsed="false">
      <c r="A1289" s="11"/>
      <c r="B1289" s="6"/>
      <c r="C1289" s="11"/>
      <c r="D1289" s="11"/>
      <c r="E1289" s="8" t="str">
        <f aca="false">IF($A1289="","",SUMIFS($C:$C,$A:$A,$H1289,$B:$B,"&gt;="&amp;INT($B1289),$B:$B,"&lt;"&amp;(INT($B1289)+1)))</f>
        <v/>
      </c>
      <c r="F1289" s="19" t="str">
        <f aca="false">IF($A1289="","",IF(ISNA(MATCH($H1289,Buffers!$AE:$AE,0)),"Not on Buffers",IF(NOT(ISNUMBER($B1289)),"Needs a date",IF(INT($B1289)&lt;PlanDate,"Past due",IF(INT($B1289)=PlanDate,"Due today",IF(AND(INDEX(Buffers!$L:$L,MATCH($H1289,Buffers!$AE:$AE,0))="Planned",$E1289&gt;0,INT($B1289)&lt;=PlanDate+ROUNDUP(IF(ISNUMBER(SpikeHorizon),SpikeHorizon,INDEX(Buffers!$D:$D,MATCH($H1289,Buffers!$AE:$AE,0))),0),$E1289&gt;=SpikePct*INDEX(Buffers!$P:$P,MATCH($H1289,Buffers!$AE:$AE,0))),"Spike","Not qualified"))))))</f>
        <v/>
      </c>
      <c r="G1289" s="8" t="str">
        <f aca="false">IF($A1289="","",IF(OR($F1289="Past due",$F1289="Due today",$F1289="Spike"),$C1289,0))</f>
        <v/>
      </c>
      <c r="H1289" s="8" t="str">
        <f aca="false">IF($A1289="","",SUBSTITUTE(SUBSTITUTE(SUBSTITUTE($A1289&amp;"","~","~~"),"*","~*"),"?","~?"))</f>
        <v/>
      </c>
    </row>
    <row r="1290" customFormat="false" ht="15" hidden="false" customHeight="false" outlineLevel="0" collapsed="false">
      <c r="A1290" s="11"/>
      <c r="B1290" s="6"/>
      <c r="C1290" s="11"/>
      <c r="D1290" s="11"/>
      <c r="E1290" s="8" t="str">
        <f aca="false">IF($A1290="","",SUMIFS($C:$C,$A:$A,$H1290,$B:$B,"&gt;="&amp;INT($B1290),$B:$B,"&lt;"&amp;(INT($B1290)+1)))</f>
        <v/>
      </c>
      <c r="F1290" s="19" t="str">
        <f aca="false">IF($A1290="","",IF(ISNA(MATCH($H1290,Buffers!$AE:$AE,0)),"Not on Buffers",IF(NOT(ISNUMBER($B1290)),"Needs a date",IF(INT($B1290)&lt;PlanDate,"Past due",IF(INT($B1290)=PlanDate,"Due today",IF(AND(INDEX(Buffers!$L:$L,MATCH($H1290,Buffers!$AE:$AE,0))="Planned",$E1290&gt;0,INT($B1290)&lt;=PlanDate+ROUNDUP(IF(ISNUMBER(SpikeHorizon),SpikeHorizon,INDEX(Buffers!$D:$D,MATCH($H1290,Buffers!$AE:$AE,0))),0),$E1290&gt;=SpikePct*INDEX(Buffers!$P:$P,MATCH($H1290,Buffers!$AE:$AE,0))),"Spike","Not qualified"))))))</f>
        <v/>
      </c>
      <c r="G1290" s="8" t="str">
        <f aca="false">IF($A1290="","",IF(OR($F1290="Past due",$F1290="Due today",$F1290="Spike"),$C1290,0))</f>
        <v/>
      </c>
      <c r="H1290" s="8" t="str">
        <f aca="false">IF($A1290="","",SUBSTITUTE(SUBSTITUTE(SUBSTITUTE($A1290&amp;"","~","~~"),"*","~*"),"?","~?"))</f>
        <v/>
      </c>
    </row>
    <row r="1291" customFormat="false" ht="15" hidden="false" customHeight="false" outlineLevel="0" collapsed="false">
      <c r="A1291" s="11"/>
      <c r="B1291" s="6"/>
      <c r="C1291" s="11"/>
      <c r="D1291" s="11"/>
      <c r="E1291" s="8" t="str">
        <f aca="false">IF($A1291="","",SUMIFS($C:$C,$A:$A,$H1291,$B:$B,"&gt;="&amp;INT($B1291),$B:$B,"&lt;"&amp;(INT($B1291)+1)))</f>
        <v/>
      </c>
      <c r="F1291" s="19" t="str">
        <f aca="false">IF($A1291="","",IF(ISNA(MATCH($H1291,Buffers!$AE:$AE,0)),"Not on Buffers",IF(NOT(ISNUMBER($B1291)),"Needs a date",IF(INT($B1291)&lt;PlanDate,"Past due",IF(INT($B1291)=PlanDate,"Due today",IF(AND(INDEX(Buffers!$L:$L,MATCH($H1291,Buffers!$AE:$AE,0))="Planned",$E1291&gt;0,INT($B1291)&lt;=PlanDate+ROUNDUP(IF(ISNUMBER(SpikeHorizon),SpikeHorizon,INDEX(Buffers!$D:$D,MATCH($H1291,Buffers!$AE:$AE,0))),0),$E1291&gt;=SpikePct*INDEX(Buffers!$P:$P,MATCH($H1291,Buffers!$AE:$AE,0))),"Spike","Not qualified"))))))</f>
        <v/>
      </c>
      <c r="G1291" s="8" t="str">
        <f aca="false">IF($A1291="","",IF(OR($F1291="Past due",$F1291="Due today",$F1291="Spike"),$C1291,0))</f>
        <v/>
      </c>
      <c r="H1291" s="8" t="str">
        <f aca="false">IF($A1291="","",SUBSTITUTE(SUBSTITUTE(SUBSTITUTE($A1291&amp;"","~","~~"),"*","~*"),"?","~?"))</f>
        <v/>
      </c>
    </row>
    <row r="1292" customFormat="false" ht="15" hidden="false" customHeight="false" outlineLevel="0" collapsed="false">
      <c r="A1292" s="11"/>
      <c r="B1292" s="6"/>
      <c r="C1292" s="11"/>
      <c r="D1292" s="11"/>
      <c r="E1292" s="8" t="str">
        <f aca="false">IF($A1292="","",SUMIFS($C:$C,$A:$A,$H1292,$B:$B,"&gt;="&amp;INT($B1292),$B:$B,"&lt;"&amp;(INT($B1292)+1)))</f>
        <v/>
      </c>
      <c r="F1292" s="19" t="str">
        <f aca="false">IF($A1292="","",IF(ISNA(MATCH($H1292,Buffers!$AE:$AE,0)),"Not on Buffers",IF(NOT(ISNUMBER($B1292)),"Needs a date",IF(INT($B1292)&lt;PlanDate,"Past due",IF(INT($B1292)=PlanDate,"Due today",IF(AND(INDEX(Buffers!$L:$L,MATCH($H1292,Buffers!$AE:$AE,0))="Planned",$E1292&gt;0,INT($B1292)&lt;=PlanDate+ROUNDUP(IF(ISNUMBER(SpikeHorizon),SpikeHorizon,INDEX(Buffers!$D:$D,MATCH($H1292,Buffers!$AE:$AE,0))),0),$E1292&gt;=SpikePct*INDEX(Buffers!$P:$P,MATCH($H1292,Buffers!$AE:$AE,0))),"Spike","Not qualified"))))))</f>
        <v/>
      </c>
      <c r="G1292" s="8" t="str">
        <f aca="false">IF($A1292="","",IF(OR($F1292="Past due",$F1292="Due today",$F1292="Spike"),$C1292,0))</f>
        <v/>
      </c>
      <c r="H1292" s="8" t="str">
        <f aca="false">IF($A1292="","",SUBSTITUTE(SUBSTITUTE(SUBSTITUTE($A1292&amp;"","~","~~"),"*","~*"),"?","~?"))</f>
        <v/>
      </c>
    </row>
    <row r="1293" customFormat="false" ht="15" hidden="false" customHeight="false" outlineLevel="0" collapsed="false">
      <c r="A1293" s="11"/>
      <c r="B1293" s="6"/>
      <c r="C1293" s="11"/>
      <c r="D1293" s="11"/>
      <c r="E1293" s="8" t="str">
        <f aca="false">IF($A1293="","",SUMIFS($C:$C,$A:$A,$H1293,$B:$B,"&gt;="&amp;INT($B1293),$B:$B,"&lt;"&amp;(INT($B1293)+1)))</f>
        <v/>
      </c>
      <c r="F1293" s="19" t="str">
        <f aca="false">IF($A1293="","",IF(ISNA(MATCH($H1293,Buffers!$AE:$AE,0)),"Not on Buffers",IF(NOT(ISNUMBER($B1293)),"Needs a date",IF(INT($B1293)&lt;PlanDate,"Past due",IF(INT($B1293)=PlanDate,"Due today",IF(AND(INDEX(Buffers!$L:$L,MATCH($H1293,Buffers!$AE:$AE,0))="Planned",$E1293&gt;0,INT($B1293)&lt;=PlanDate+ROUNDUP(IF(ISNUMBER(SpikeHorizon),SpikeHorizon,INDEX(Buffers!$D:$D,MATCH($H1293,Buffers!$AE:$AE,0))),0),$E1293&gt;=SpikePct*INDEX(Buffers!$P:$P,MATCH($H1293,Buffers!$AE:$AE,0))),"Spike","Not qualified"))))))</f>
        <v/>
      </c>
      <c r="G1293" s="8" t="str">
        <f aca="false">IF($A1293="","",IF(OR($F1293="Past due",$F1293="Due today",$F1293="Spike"),$C1293,0))</f>
        <v/>
      </c>
      <c r="H1293" s="8" t="str">
        <f aca="false">IF($A1293="","",SUBSTITUTE(SUBSTITUTE(SUBSTITUTE($A1293&amp;"","~","~~"),"*","~*"),"?","~?"))</f>
        <v/>
      </c>
    </row>
    <row r="1294" customFormat="false" ht="15" hidden="false" customHeight="false" outlineLevel="0" collapsed="false">
      <c r="A1294" s="11"/>
      <c r="B1294" s="6"/>
      <c r="C1294" s="11"/>
      <c r="D1294" s="11"/>
      <c r="E1294" s="8" t="str">
        <f aca="false">IF($A1294="","",SUMIFS($C:$C,$A:$A,$H1294,$B:$B,"&gt;="&amp;INT($B1294),$B:$B,"&lt;"&amp;(INT($B1294)+1)))</f>
        <v/>
      </c>
      <c r="F1294" s="19" t="str">
        <f aca="false">IF($A1294="","",IF(ISNA(MATCH($H1294,Buffers!$AE:$AE,0)),"Not on Buffers",IF(NOT(ISNUMBER($B1294)),"Needs a date",IF(INT($B1294)&lt;PlanDate,"Past due",IF(INT($B1294)=PlanDate,"Due today",IF(AND(INDEX(Buffers!$L:$L,MATCH($H1294,Buffers!$AE:$AE,0))="Planned",$E1294&gt;0,INT($B1294)&lt;=PlanDate+ROUNDUP(IF(ISNUMBER(SpikeHorizon),SpikeHorizon,INDEX(Buffers!$D:$D,MATCH($H1294,Buffers!$AE:$AE,0))),0),$E1294&gt;=SpikePct*INDEX(Buffers!$P:$P,MATCH($H1294,Buffers!$AE:$AE,0))),"Spike","Not qualified"))))))</f>
        <v/>
      </c>
      <c r="G1294" s="8" t="str">
        <f aca="false">IF($A1294="","",IF(OR($F1294="Past due",$F1294="Due today",$F1294="Spike"),$C1294,0))</f>
        <v/>
      </c>
      <c r="H1294" s="8" t="str">
        <f aca="false">IF($A1294="","",SUBSTITUTE(SUBSTITUTE(SUBSTITUTE($A1294&amp;"","~","~~"),"*","~*"),"?","~?"))</f>
        <v/>
      </c>
    </row>
    <row r="1295" customFormat="false" ht="15" hidden="false" customHeight="false" outlineLevel="0" collapsed="false">
      <c r="A1295" s="11"/>
      <c r="B1295" s="6"/>
      <c r="C1295" s="11"/>
      <c r="D1295" s="11"/>
      <c r="E1295" s="8" t="str">
        <f aca="false">IF($A1295="","",SUMIFS($C:$C,$A:$A,$H1295,$B:$B,"&gt;="&amp;INT($B1295),$B:$B,"&lt;"&amp;(INT($B1295)+1)))</f>
        <v/>
      </c>
      <c r="F1295" s="19" t="str">
        <f aca="false">IF($A1295="","",IF(ISNA(MATCH($H1295,Buffers!$AE:$AE,0)),"Not on Buffers",IF(NOT(ISNUMBER($B1295)),"Needs a date",IF(INT($B1295)&lt;PlanDate,"Past due",IF(INT($B1295)=PlanDate,"Due today",IF(AND(INDEX(Buffers!$L:$L,MATCH($H1295,Buffers!$AE:$AE,0))="Planned",$E1295&gt;0,INT($B1295)&lt;=PlanDate+ROUNDUP(IF(ISNUMBER(SpikeHorizon),SpikeHorizon,INDEX(Buffers!$D:$D,MATCH($H1295,Buffers!$AE:$AE,0))),0),$E1295&gt;=SpikePct*INDEX(Buffers!$P:$P,MATCH($H1295,Buffers!$AE:$AE,0))),"Spike","Not qualified"))))))</f>
        <v/>
      </c>
      <c r="G1295" s="8" t="str">
        <f aca="false">IF($A1295="","",IF(OR($F1295="Past due",$F1295="Due today",$F1295="Spike"),$C1295,0))</f>
        <v/>
      </c>
      <c r="H1295" s="8" t="str">
        <f aca="false">IF($A1295="","",SUBSTITUTE(SUBSTITUTE(SUBSTITUTE($A1295&amp;"","~","~~"),"*","~*"),"?","~?"))</f>
        <v/>
      </c>
    </row>
    <row r="1296" customFormat="false" ht="15" hidden="false" customHeight="false" outlineLevel="0" collapsed="false">
      <c r="A1296" s="11"/>
      <c r="B1296" s="6"/>
      <c r="C1296" s="11"/>
      <c r="D1296" s="11"/>
      <c r="E1296" s="8" t="str">
        <f aca="false">IF($A1296="","",SUMIFS($C:$C,$A:$A,$H1296,$B:$B,"&gt;="&amp;INT($B1296),$B:$B,"&lt;"&amp;(INT($B1296)+1)))</f>
        <v/>
      </c>
      <c r="F1296" s="19" t="str">
        <f aca="false">IF($A1296="","",IF(ISNA(MATCH($H1296,Buffers!$AE:$AE,0)),"Not on Buffers",IF(NOT(ISNUMBER($B1296)),"Needs a date",IF(INT($B1296)&lt;PlanDate,"Past due",IF(INT($B1296)=PlanDate,"Due today",IF(AND(INDEX(Buffers!$L:$L,MATCH($H1296,Buffers!$AE:$AE,0))="Planned",$E1296&gt;0,INT($B1296)&lt;=PlanDate+ROUNDUP(IF(ISNUMBER(SpikeHorizon),SpikeHorizon,INDEX(Buffers!$D:$D,MATCH($H1296,Buffers!$AE:$AE,0))),0),$E1296&gt;=SpikePct*INDEX(Buffers!$P:$P,MATCH($H1296,Buffers!$AE:$AE,0))),"Spike","Not qualified"))))))</f>
        <v/>
      </c>
      <c r="G1296" s="8" t="str">
        <f aca="false">IF($A1296="","",IF(OR($F1296="Past due",$F1296="Due today",$F1296="Spike"),$C1296,0))</f>
        <v/>
      </c>
      <c r="H1296" s="8" t="str">
        <f aca="false">IF($A1296="","",SUBSTITUTE(SUBSTITUTE(SUBSTITUTE($A1296&amp;"","~","~~"),"*","~*"),"?","~?"))</f>
        <v/>
      </c>
    </row>
    <row r="1297" customFormat="false" ht="15" hidden="false" customHeight="false" outlineLevel="0" collapsed="false">
      <c r="A1297" s="11"/>
      <c r="B1297" s="6"/>
      <c r="C1297" s="11"/>
      <c r="D1297" s="11"/>
      <c r="E1297" s="8" t="str">
        <f aca="false">IF($A1297="","",SUMIFS($C:$C,$A:$A,$H1297,$B:$B,"&gt;="&amp;INT($B1297),$B:$B,"&lt;"&amp;(INT($B1297)+1)))</f>
        <v/>
      </c>
      <c r="F1297" s="19" t="str">
        <f aca="false">IF($A1297="","",IF(ISNA(MATCH($H1297,Buffers!$AE:$AE,0)),"Not on Buffers",IF(NOT(ISNUMBER($B1297)),"Needs a date",IF(INT($B1297)&lt;PlanDate,"Past due",IF(INT($B1297)=PlanDate,"Due today",IF(AND(INDEX(Buffers!$L:$L,MATCH($H1297,Buffers!$AE:$AE,0))="Planned",$E1297&gt;0,INT($B1297)&lt;=PlanDate+ROUNDUP(IF(ISNUMBER(SpikeHorizon),SpikeHorizon,INDEX(Buffers!$D:$D,MATCH($H1297,Buffers!$AE:$AE,0))),0),$E1297&gt;=SpikePct*INDEX(Buffers!$P:$P,MATCH($H1297,Buffers!$AE:$AE,0))),"Spike","Not qualified"))))))</f>
        <v/>
      </c>
      <c r="G1297" s="8" t="str">
        <f aca="false">IF($A1297="","",IF(OR($F1297="Past due",$F1297="Due today",$F1297="Spike"),$C1297,0))</f>
        <v/>
      </c>
      <c r="H1297" s="8" t="str">
        <f aca="false">IF($A1297="","",SUBSTITUTE(SUBSTITUTE(SUBSTITUTE($A1297&amp;"","~","~~"),"*","~*"),"?","~?"))</f>
        <v/>
      </c>
    </row>
    <row r="1298" customFormat="false" ht="15" hidden="false" customHeight="false" outlineLevel="0" collapsed="false">
      <c r="A1298" s="11"/>
      <c r="B1298" s="6"/>
      <c r="C1298" s="11"/>
      <c r="D1298" s="11"/>
      <c r="E1298" s="8" t="str">
        <f aca="false">IF($A1298="","",SUMIFS($C:$C,$A:$A,$H1298,$B:$B,"&gt;="&amp;INT($B1298),$B:$B,"&lt;"&amp;(INT($B1298)+1)))</f>
        <v/>
      </c>
      <c r="F1298" s="19" t="str">
        <f aca="false">IF($A1298="","",IF(ISNA(MATCH($H1298,Buffers!$AE:$AE,0)),"Not on Buffers",IF(NOT(ISNUMBER($B1298)),"Needs a date",IF(INT($B1298)&lt;PlanDate,"Past due",IF(INT($B1298)=PlanDate,"Due today",IF(AND(INDEX(Buffers!$L:$L,MATCH($H1298,Buffers!$AE:$AE,0))="Planned",$E1298&gt;0,INT($B1298)&lt;=PlanDate+ROUNDUP(IF(ISNUMBER(SpikeHorizon),SpikeHorizon,INDEX(Buffers!$D:$D,MATCH($H1298,Buffers!$AE:$AE,0))),0),$E1298&gt;=SpikePct*INDEX(Buffers!$P:$P,MATCH($H1298,Buffers!$AE:$AE,0))),"Spike","Not qualified"))))))</f>
        <v/>
      </c>
      <c r="G1298" s="8" t="str">
        <f aca="false">IF($A1298="","",IF(OR($F1298="Past due",$F1298="Due today",$F1298="Spike"),$C1298,0))</f>
        <v/>
      </c>
      <c r="H1298" s="8" t="str">
        <f aca="false">IF($A1298="","",SUBSTITUTE(SUBSTITUTE(SUBSTITUTE($A1298&amp;"","~","~~"),"*","~*"),"?","~?"))</f>
        <v/>
      </c>
    </row>
    <row r="1299" customFormat="false" ht="15" hidden="false" customHeight="false" outlineLevel="0" collapsed="false">
      <c r="A1299" s="11"/>
      <c r="B1299" s="6"/>
      <c r="C1299" s="11"/>
      <c r="D1299" s="11"/>
      <c r="E1299" s="8" t="str">
        <f aca="false">IF($A1299="","",SUMIFS($C:$C,$A:$A,$H1299,$B:$B,"&gt;="&amp;INT($B1299),$B:$B,"&lt;"&amp;(INT($B1299)+1)))</f>
        <v/>
      </c>
      <c r="F1299" s="19" t="str">
        <f aca="false">IF($A1299="","",IF(ISNA(MATCH($H1299,Buffers!$AE:$AE,0)),"Not on Buffers",IF(NOT(ISNUMBER($B1299)),"Needs a date",IF(INT($B1299)&lt;PlanDate,"Past due",IF(INT($B1299)=PlanDate,"Due today",IF(AND(INDEX(Buffers!$L:$L,MATCH($H1299,Buffers!$AE:$AE,0))="Planned",$E1299&gt;0,INT($B1299)&lt;=PlanDate+ROUNDUP(IF(ISNUMBER(SpikeHorizon),SpikeHorizon,INDEX(Buffers!$D:$D,MATCH($H1299,Buffers!$AE:$AE,0))),0),$E1299&gt;=SpikePct*INDEX(Buffers!$P:$P,MATCH($H1299,Buffers!$AE:$AE,0))),"Spike","Not qualified"))))))</f>
        <v/>
      </c>
      <c r="G1299" s="8" t="str">
        <f aca="false">IF($A1299="","",IF(OR($F1299="Past due",$F1299="Due today",$F1299="Spike"),$C1299,0))</f>
        <v/>
      </c>
      <c r="H1299" s="8" t="str">
        <f aca="false">IF($A1299="","",SUBSTITUTE(SUBSTITUTE(SUBSTITUTE($A1299&amp;"","~","~~"),"*","~*"),"?","~?"))</f>
        <v/>
      </c>
    </row>
    <row r="1300" customFormat="false" ht="15" hidden="false" customHeight="false" outlineLevel="0" collapsed="false">
      <c r="A1300" s="11"/>
      <c r="B1300" s="6"/>
      <c r="C1300" s="11"/>
      <c r="D1300" s="11"/>
      <c r="E1300" s="8" t="str">
        <f aca="false">IF($A1300="","",SUMIFS($C:$C,$A:$A,$H1300,$B:$B,"&gt;="&amp;INT($B1300),$B:$B,"&lt;"&amp;(INT($B1300)+1)))</f>
        <v/>
      </c>
      <c r="F1300" s="19" t="str">
        <f aca="false">IF($A1300="","",IF(ISNA(MATCH($H1300,Buffers!$AE:$AE,0)),"Not on Buffers",IF(NOT(ISNUMBER($B1300)),"Needs a date",IF(INT($B1300)&lt;PlanDate,"Past due",IF(INT($B1300)=PlanDate,"Due today",IF(AND(INDEX(Buffers!$L:$L,MATCH($H1300,Buffers!$AE:$AE,0))="Planned",$E1300&gt;0,INT($B1300)&lt;=PlanDate+ROUNDUP(IF(ISNUMBER(SpikeHorizon),SpikeHorizon,INDEX(Buffers!$D:$D,MATCH($H1300,Buffers!$AE:$AE,0))),0),$E1300&gt;=SpikePct*INDEX(Buffers!$P:$P,MATCH($H1300,Buffers!$AE:$AE,0))),"Spike","Not qualified"))))))</f>
        <v/>
      </c>
      <c r="G1300" s="8" t="str">
        <f aca="false">IF($A1300="","",IF(OR($F1300="Past due",$F1300="Due today",$F1300="Spike"),$C1300,0))</f>
        <v/>
      </c>
      <c r="H1300" s="8" t="str">
        <f aca="false">IF($A1300="","",SUBSTITUTE(SUBSTITUTE(SUBSTITUTE($A1300&amp;"","~","~~"),"*","~*"),"?","~?"))</f>
        <v/>
      </c>
    </row>
    <row r="1301" customFormat="false" ht="15" hidden="false" customHeight="false" outlineLevel="0" collapsed="false">
      <c r="A1301" s="11"/>
      <c r="B1301" s="6"/>
      <c r="C1301" s="11"/>
      <c r="D1301" s="11"/>
      <c r="E1301" s="8" t="str">
        <f aca="false">IF($A1301="","",SUMIFS($C:$C,$A:$A,$H1301,$B:$B,"&gt;="&amp;INT($B1301),$B:$B,"&lt;"&amp;(INT($B1301)+1)))</f>
        <v/>
      </c>
      <c r="F1301" s="19" t="str">
        <f aca="false">IF($A1301="","",IF(ISNA(MATCH($H1301,Buffers!$AE:$AE,0)),"Not on Buffers",IF(NOT(ISNUMBER($B1301)),"Needs a date",IF(INT($B1301)&lt;PlanDate,"Past due",IF(INT($B1301)=PlanDate,"Due today",IF(AND(INDEX(Buffers!$L:$L,MATCH($H1301,Buffers!$AE:$AE,0))="Planned",$E1301&gt;0,INT($B1301)&lt;=PlanDate+ROUNDUP(IF(ISNUMBER(SpikeHorizon),SpikeHorizon,INDEX(Buffers!$D:$D,MATCH($H1301,Buffers!$AE:$AE,0))),0),$E1301&gt;=SpikePct*INDEX(Buffers!$P:$P,MATCH($H1301,Buffers!$AE:$AE,0))),"Spike","Not qualified"))))))</f>
        <v/>
      </c>
      <c r="G1301" s="8" t="str">
        <f aca="false">IF($A1301="","",IF(OR($F1301="Past due",$F1301="Due today",$F1301="Spike"),$C1301,0))</f>
        <v/>
      </c>
      <c r="H1301" s="8" t="str">
        <f aca="false">IF($A1301="","",SUBSTITUTE(SUBSTITUTE(SUBSTITUTE($A1301&amp;"","~","~~"),"*","~*"),"?","~?"))</f>
        <v/>
      </c>
    </row>
    <row r="1302" customFormat="false" ht="15" hidden="false" customHeight="false" outlineLevel="0" collapsed="false">
      <c r="A1302" s="11"/>
      <c r="B1302" s="6"/>
      <c r="C1302" s="11"/>
      <c r="D1302" s="11"/>
      <c r="E1302" s="8" t="str">
        <f aca="false">IF($A1302="","",SUMIFS($C:$C,$A:$A,$H1302,$B:$B,"&gt;="&amp;INT($B1302),$B:$B,"&lt;"&amp;(INT($B1302)+1)))</f>
        <v/>
      </c>
      <c r="F1302" s="19" t="str">
        <f aca="false">IF($A1302="","",IF(ISNA(MATCH($H1302,Buffers!$AE:$AE,0)),"Not on Buffers",IF(NOT(ISNUMBER($B1302)),"Needs a date",IF(INT($B1302)&lt;PlanDate,"Past due",IF(INT($B1302)=PlanDate,"Due today",IF(AND(INDEX(Buffers!$L:$L,MATCH($H1302,Buffers!$AE:$AE,0))="Planned",$E1302&gt;0,INT($B1302)&lt;=PlanDate+ROUNDUP(IF(ISNUMBER(SpikeHorizon),SpikeHorizon,INDEX(Buffers!$D:$D,MATCH($H1302,Buffers!$AE:$AE,0))),0),$E1302&gt;=SpikePct*INDEX(Buffers!$P:$P,MATCH($H1302,Buffers!$AE:$AE,0))),"Spike","Not qualified"))))))</f>
        <v/>
      </c>
      <c r="G1302" s="8" t="str">
        <f aca="false">IF($A1302="","",IF(OR($F1302="Past due",$F1302="Due today",$F1302="Spike"),$C1302,0))</f>
        <v/>
      </c>
      <c r="H1302" s="8" t="str">
        <f aca="false">IF($A1302="","",SUBSTITUTE(SUBSTITUTE(SUBSTITUTE($A1302&amp;"","~","~~"),"*","~*"),"?","~?"))</f>
        <v/>
      </c>
    </row>
    <row r="1303" customFormat="false" ht="15" hidden="false" customHeight="false" outlineLevel="0" collapsed="false">
      <c r="A1303" s="11"/>
      <c r="B1303" s="6"/>
      <c r="C1303" s="11"/>
      <c r="D1303" s="11"/>
      <c r="E1303" s="8" t="str">
        <f aca="false">IF($A1303="","",SUMIFS($C:$C,$A:$A,$H1303,$B:$B,"&gt;="&amp;INT($B1303),$B:$B,"&lt;"&amp;(INT($B1303)+1)))</f>
        <v/>
      </c>
      <c r="F1303" s="19" t="str">
        <f aca="false">IF($A1303="","",IF(ISNA(MATCH($H1303,Buffers!$AE:$AE,0)),"Not on Buffers",IF(NOT(ISNUMBER($B1303)),"Needs a date",IF(INT($B1303)&lt;PlanDate,"Past due",IF(INT($B1303)=PlanDate,"Due today",IF(AND(INDEX(Buffers!$L:$L,MATCH($H1303,Buffers!$AE:$AE,0))="Planned",$E1303&gt;0,INT($B1303)&lt;=PlanDate+ROUNDUP(IF(ISNUMBER(SpikeHorizon),SpikeHorizon,INDEX(Buffers!$D:$D,MATCH($H1303,Buffers!$AE:$AE,0))),0),$E1303&gt;=SpikePct*INDEX(Buffers!$P:$P,MATCH($H1303,Buffers!$AE:$AE,0))),"Spike","Not qualified"))))))</f>
        <v/>
      </c>
      <c r="G1303" s="8" t="str">
        <f aca="false">IF($A1303="","",IF(OR($F1303="Past due",$F1303="Due today",$F1303="Spike"),$C1303,0))</f>
        <v/>
      </c>
      <c r="H1303" s="8" t="str">
        <f aca="false">IF($A1303="","",SUBSTITUTE(SUBSTITUTE(SUBSTITUTE($A1303&amp;"","~","~~"),"*","~*"),"?","~?"))</f>
        <v/>
      </c>
    </row>
    <row r="1304" customFormat="false" ht="15" hidden="false" customHeight="false" outlineLevel="0" collapsed="false">
      <c r="A1304" s="11"/>
      <c r="B1304" s="6"/>
      <c r="C1304" s="11"/>
      <c r="D1304" s="11"/>
      <c r="E1304" s="8" t="str">
        <f aca="false">IF($A1304="","",SUMIFS($C:$C,$A:$A,$H1304,$B:$B,"&gt;="&amp;INT($B1304),$B:$B,"&lt;"&amp;(INT($B1304)+1)))</f>
        <v/>
      </c>
      <c r="F1304" s="19" t="str">
        <f aca="false">IF($A1304="","",IF(ISNA(MATCH($H1304,Buffers!$AE:$AE,0)),"Not on Buffers",IF(NOT(ISNUMBER($B1304)),"Needs a date",IF(INT($B1304)&lt;PlanDate,"Past due",IF(INT($B1304)=PlanDate,"Due today",IF(AND(INDEX(Buffers!$L:$L,MATCH($H1304,Buffers!$AE:$AE,0))="Planned",$E1304&gt;0,INT($B1304)&lt;=PlanDate+ROUNDUP(IF(ISNUMBER(SpikeHorizon),SpikeHorizon,INDEX(Buffers!$D:$D,MATCH($H1304,Buffers!$AE:$AE,0))),0),$E1304&gt;=SpikePct*INDEX(Buffers!$P:$P,MATCH($H1304,Buffers!$AE:$AE,0))),"Spike","Not qualified"))))))</f>
        <v/>
      </c>
      <c r="G1304" s="8" t="str">
        <f aca="false">IF($A1304="","",IF(OR($F1304="Past due",$F1304="Due today",$F1304="Spike"),$C1304,0))</f>
        <v/>
      </c>
      <c r="H1304" s="8" t="str">
        <f aca="false">IF($A1304="","",SUBSTITUTE(SUBSTITUTE(SUBSTITUTE($A1304&amp;"","~","~~"),"*","~*"),"?","~?"))</f>
        <v/>
      </c>
    </row>
    <row r="1305" customFormat="false" ht="15" hidden="false" customHeight="false" outlineLevel="0" collapsed="false">
      <c r="A1305" s="11"/>
      <c r="B1305" s="6"/>
      <c r="C1305" s="11"/>
      <c r="D1305" s="11"/>
      <c r="E1305" s="8" t="str">
        <f aca="false">IF($A1305="","",SUMIFS($C:$C,$A:$A,$H1305,$B:$B,"&gt;="&amp;INT($B1305),$B:$B,"&lt;"&amp;(INT($B1305)+1)))</f>
        <v/>
      </c>
      <c r="F1305" s="19" t="str">
        <f aca="false">IF($A1305="","",IF(ISNA(MATCH($H1305,Buffers!$AE:$AE,0)),"Not on Buffers",IF(NOT(ISNUMBER($B1305)),"Needs a date",IF(INT($B1305)&lt;PlanDate,"Past due",IF(INT($B1305)=PlanDate,"Due today",IF(AND(INDEX(Buffers!$L:$L,MATCH($H1305,Buffers!$AE:$AE,0))="Planned",$E1305&gt;0,INT($B1305)&lt;=PlanDate+ROUNDUP(IF(ISNUMBER(SpikeHorizon),SpikeHorizon,INDEX(Buffers!$D:$D,MATCH($H1305,Buffers!$AE:$AE,0))),0),$E1305&gt;=SpikePct*INDEX(Buffers!$P:$P,MATCH($H1305,Buffers!$AE:$AE,0))),"Spike","Not qualified"))))))</f>
        <v/>
      </c>
      <c r="G1305" s="8" t="str">
        <f aca="false">IF($A1305="","",IF(OR($F1305="Past due",$F1305="Due today",$F1305="Spike"),$C1305,0))</f>
        <v/>
      </c>
      <c r="H1305" s="8" t="str">
        <f aca="false">IF($A1305="","",SUBSTITUTE(SUBSTITUTE(SUBSTITUTE($A1305&amp;"","~","~~"),"*","~*"),"?","~?"))</f>
        <v/>
      </c>
    </row>
    <row r="1306" customFormat="false" ht="15" hidden="false" customHeight="false" outlineLevel="0" collapsed="false">
      <c r="A1306" s="11"/>
      <c r="B1306" s="6"/>
      <c r="C1306" s="11"/>
      <c r="D1306" s="11"/>
      <c r="E1306" s="8" t="str">
        <f aca="false">IF($A1306="","",SUMIFS($C:$C,$A:$A,$H1306,$B:$B,"&gt;="&amp;INT($B1306),$B:$B,"&lt;"&amp;(INT($B1306)+1)))</f>
        <v/>
      </c>
      <c r="F1306" s="19" t="str">
        <f aca="false">IF($A1306="","",IF(ISNA(MATCH($H1306,Buffers!$AE:$AE,0)),"Not on Buffers",IF(NOT(ISNUMBER($B1306)),"Needs a date",IF(INT($B1306)&lt;PlanDate,"Past due",IF(INT($B1306)=PlanDate,"Due today",IF(AND(INDEX(Buffers!$L:$L,MATCH($H1306,Buffers!$AE:$AE,0))="Planned",$E1306&gt;0,INT($B1306)&lt;=PlanDate+ROUNDUP(IF(ISNUMBER(SpikeHorizon),SpikeHorizon,INDEX(Buffers!$D:$D,MATCH($H1306,Buffers!$AE:$AE,0))),0),$E1306&gt;=SpikePct*INDEX(Buffers!$P:$P,MATCH($H1306,Buffers!$AE:$AE,0))),"Spike","Not qualified"))))))</f>
        <v/>
      </c>
      <c r="G1306" s="8" t="str">
        <f aca="false">IF($A1306="","",IF(OR($F1306="Past due",$F1306="Due today",$F1306="Spike"),$C1306,0))</f>
        <v/>
      </c>
      <c r="H1306" s="8" t="str">
        <f aca="false">IF($A1306="","",SUBSTITUTE(SUBSTITUTE(SUBSTITUTE($A1306&amp;"","~","~~"),"*","~*"),"?","~?"))</f>
        <v/>
      </c>
    </row>
    <row r="1307" customFormat="false" ht="15" hidden="false" customHeight="false" outlineLevel="0" collapsed="false">
      <c r="A1307" s="11"/>
      <c r="B1307" s="6"/>
      <c r="C1307" s="11"/>
      <c r="D1307" s="11"/>
      <c r="E1307" s="8" t="str">
        <f aca="false">IF($A1307="","",SUMIFS($C:$C,$A:$A,$H1307,$B:$B,"&gt;="&amp;INT($B1307),$B:$B,"&lt;"&amp;(INT($B1307)+1)))</f>
        <v/>
      </c>
      <c r="F1307" s="19" t="str">
        <f aca="false">IF($A1307="","",IF(ISNA(MATCH($H1307,Buffers!$AE:$AE,0)),"Not on Buffers",IF(NOT(ISNUMBER($B1307)),"Needs a date",IF(INT($B1307)&lt;PlanDate,"Past due",IF(INT($B1307)=PlanDate,"Due today",IF(AND(INDEX(Buffers!$L:$L,MATCH($H1307,Buffers!$AE:$AE,0))="Planned",$E1307&gt;0,INT($B1307)&lt;=PlanDate+ROUNDUP(IF(ISNUMBER(SpikeHorizon),SpikeHorizon,INDEX(Buffers!$D:$D,MATCH($H1307,Buffers!$AE:$AE,0))),0),$E1307&gt;=SpikePct*INDEX(Buffers!$P:$P,MATCH($H1307,Buffers!$AE:$AE,0))),"Spike","Not qualified"))))))</f>
        <v/>
      </c>
      <c r="G1307" s="8" t="str">
        <f aca="false">IF($A1307="","",IF(OR($F1307="Past due",$F1307="Due today",$F1307="Spike"),$C1307,0))</f>
        <v/>
      </c>
      <c r="H1307" s="8" t="str">
        <f aca="false">IF($A1307="","",SUBSTITUTE(SUBSTITUTE(SUBSTITUTE($A1307&amp;"","~","~~"),"*","~*"),"?","~?"))</f>
        <v/>
      </c>
    </row>
    <row r="1308" customFormat="false" ht="15" hidden="false" customHeight="false" outlineLevel="0" collapsed="false">
      <c r="A1308" s="11"/>
      <c r="B1308" s="6"/>
      <c r="C1308" s="11"/>
      <c r="D1308" s="11"/>
      <c r="E1308" s="8" t="str">
        <f aca="false">IF($A1308="","",SUMIFS($C:$C,$A:$A,$H1308,$B:$B,"&gt;="&amp;INT($B1308),$B:$B,"&lt;"&amp;(INT($B1308)+1)))</f>
        <v/>
      </c>
      <c r="F1308" s="19" t="str">
        <f aca="false">IF($A1308="","",IF(ISNA(MATCH($H1308,Buffers!$AE:$AE,0)),"Not on Buffers",IF(NOT(ISNUMBER($B1308)),"Needs a date",IF(INT($B1308)&lt;PlanDate,"Past due",IF(INT($B1308)=PlanDate,"Due today",IF(AND(INDEX(Buffers!$L:$L,MATCH($H1308,Buffers!$AE:$AE,0))="Planned",$E1308&gt;0,INT($B1308)&lt;=PlanDate+ROUNDUP(IF(ISNUMBER(SpikeHorizon),SpikeHorizon,INDEX(Buffers!$D:$D,MATCH($H1308,Buffers!$AE:$AE,0))),0),$E1308&gt;=SpikePct*INDEX(Buffers!$P:$P,MATCH($H1308,Buffers!$AE:$AE,0))),"Spike","Not qualified"))))))</f>
        <v/>
      </c>
      <c r="G1308" s="8" t="str">
        <f aca="false">IF($A1308="","",IF(OR($F1308="Past due",$F1308="Due today",$F1308="Spike"),$C1308,0))</f>
        <v/>
      </c>
      <c r="H1308" s="8" t="str">
        <f aca="false">IF($A1308="","",SUBSTITUTE(SUBSTITUTE(SUBSTITUTE($A1308&amp;"","~","~~"),"*","~*"),"?","~?"))</f>
        <v/>
      </c>
    </row>
    <row r="1309" customFormat="false" ht="15" hidden="false" customHeight="false" outlineLevel="0" collapsed="false">
      <c r="A1309" s="11"/>
      <c r="B1309" s="6"/>
      <c r="C1309" s="11"/>
      <c r="D1309" s="11"/>
      <c r="E1309" s="8" t="str">
        <f aca="false">IF($A1309="","",SUMIFS($C:$C,$A:$A,$H1309,$B:$B,"&gt;="&amp;INT($B1309),$B:$B,"&lt;"&amp;(INT($B1309)+1)))</f>
        <v/>
      </c>
      <c r="F1309" s="19" t="str">
        <f aca="false">IF($A1309="","",IF(ISNA(MATCH($H1309,Buffers!$AE:$AE,0)),"Not on Buffers",IF(NOT(ISNUMBER($B1309)),"Needs a date",IF(INT($B1309)&lt;PlanDate,"Past due",IF(INT($B1309)=PlanDate,"Due today",IF(AND(INDEX(Buffers!$L:$L,MATCH($H1309,Buffers!$AE:$AE,0))="Planned",$E1309&gt;0,INT($B1309)&lt;=PlanDate+ROUNDUP(IF(ISNUMBER(SpikeHorizon),SpikeHorizon,INDEX(Buffers!$D:$D,MATCH($H1309,Buffers!$AE:$AE,0))),0),$E1309&gt;=SpikePct*INDEX(Buffers!$P:$P,MATCH($H1309,Buffers!$AE:$AE,0))),"Spike","Not qualified"))))))</f>
        <v/>
      </c>
      <c r="G1309" s="8" t="str">
        <f aca="false">IF($A1309="","",IF(OR($F1309="Past due",$F1309="Due today",$F1309="Spike"),$C1309,0))</f>
        <v/>
      </c>
      <c r="H1309" s="8" t="str">
        <f aca="false">IF($A1309="","",SUBSTITUTE(SUBSTITUTE(SUBSTITUTE($A1309&amp;"","~","~~"),"*","~*"),"?","~?"))</f>
        <v/>
      </c>
    </row>
    <row r="1310" customFormat="false" ht="15" hidden="false" customHeight="false" outlineLevel="0" collapsed="false">
      <c r="A1310" s="11"/>
      <c r="B1310" s="6"/>
      <c r="C1310" s="11"/>
      <c r="D1310" s="11"/>
      <c r="E1310" s="8" t="str">
        <f aca="false">IF($A1310="","",SUMIFS($C:$C,$A:$A,$H1310,$B:$B,"&gt;="&amp;INT($B1310),$B:$B,"&lt;"&amp;(INT($B1310)+1)))</f>
        <v/>
      </c>
      <c r="F1310" s="19" t="str">
        <f aca="false">IF($A1310="","",IF(ISNA(MATCH($H1310,Buffers!$AE:$AE,0)),"Not on Buffers",IF(NOT(ISNUMBER($B1310)),"Needs a date",IF(INT($B1310)&lt;PlanDate,"Past due",IF(INT($B1310)=PlanDate,"Due today",IF(AND(INDEX(Buffers!$L:$L,MATCH($H1310,Buffers!$AE:$AE,0))="Planned",$E1310&gt;0,INT($B1310)&lt;=PlanDate+ROUNDUP(IF(ISNUMBER(SpikeHorizon),SpikeHorizon,INDEX(Buffers!$D:$D,MATCH($H1310,Buffers!$AE:$AE,0))),0),$E1310&gt;=SpikePct*INDEX(Buffers!$P:$P,MATCH($H1310,Buffers!$AE:$AE,0))),"Spike","Not qualified"))))))</f>
        <v/>
      </c>
      <c r="G1310" s="8" t="str">
        <f aca="false">IF($A1310="","",IF(OR($F1310="Past due",$F1310="Due today",$F1310="Spike"),$C1310,0))</f>
        <v/>
      </c>
      <c r="H1310" s="8" t="str">
        <f aca="false">IF($A1310="","",SUBSTITUTE(SUBSTITUTE(SUBSTITUTE($A1310&amp;"","~","~~"),"*","~*"),"?","~?"))</f>
        <v/>
      </c>
    </row>
    <row r="1311" customFormat="false" ht="15" hidden="false" customHeight="false" outlineLevel="0" collapsed="false">
      <c r="A1311" s="11"/>
      <c r="B1311" s="6"/>
      <c r="C1311" s="11"/>
      <c r="D1311" s="11"/>
      <c r="E1311" s="8" t="str">
        <f aca="false">IF($A1311="","",SUMIFS($C:$C,$A:$A,$H1311,$B:$B,"&gt;="&amp;INT($B1311),$B:$B,"&lt;"&amp;(INT($B1311)+1)))</f>
        <v/>
      </c>
      <c r="F1311" s="19" t="str">
        <f aca="false">IF($A1311="","",IF(ISNA(MATCH($H1311,Buffers!$AE:$AE,0)),"Not on Buffers",IF(NOT(ISNUMBER($B1311)),"Needs a date",IF(INT($B1311)&lt;PlanDate,"Past due",IF(INT($B1311)=PlanDate,"Due today",IF(AND(INDEX(Buffers!$L:$L,MATCH($H1311,Buffers!$AE:$AE,0))="Planned",$E1311&gt;0,INT($B1311)&lt;=PlanDate+ROUNDUP(IF(ISNUMBER(SpikeHorizon),SpikeHorizon,INDEX(Buffers!$D:$D,MATCH($H1311,Buffers!$AE:$AE,0))),0),$E1311&gt;=SpikePct*INDEX(Buffers!$P:$P,MATCH($H1311,Buffers!$AE:$AE,0))),"Spike","Not qualified"))))))</f>
        <v/>
      </c>
      <c r="G1311" s="8" t="str">
        <f aca="false">IF($A1311="","",IF(OR($F1311="Past due",$F1311="Due today",$F1311="Spike"),$C1311,0))</f>
        <v/>
      </c>
      <c r="H1311" s="8" t="str">
        <f aca="false">IF($A1311="","",SUBSTITUTE(SUBSTITUTE(SUBSTITUTE($A1311&amp;"","~","~~"),"*","~*"),"?","~?"))</f>
        <v/>
      </c>
    </row>
    <row r="1312" customFormat="false" ht="15" hidden="false" customHeight="false" outlineLevel="0" collapsed="false">
      <c r="A1312" s="11"/>
      <c r="B1312" s="6"/>
      <c r="C1312" s="11"/>
      <c r="D1312" s="11"/>
      <c r="E1312" s="8" t="str">
        <f aca="false">IF($A1312="","",SUMIFS($C:$C,$A:$A,$H1312,$B:$B,"&gt;="&amp;INT($B1312),$B:$B,"&lt;"&amp;(INT($B1312)+1)))</f>
        <v/>
      </c>
      <c r="F1312" s="19" t="str">
        <f aca="false">IF($A1312="","",IF(ISNA(MATCH($H1312,Buffers!$AE:$AE,0)),"Not on Buffers",IF(NOT(ISNUMBER($B1312)),"Needs a date",IF(INT($B1312)&lt;PlanDate,"Past due",IF(INT($B1312)=PlanDate,"Due today",IF(AND(INDEX(Buffers!$L:$L,MATCH($H1312,Buffers!$AE:$AE,0))="Planned",$E1312&gt;0,INT($B1312)&lt;=PlanDate+ROUNDUP(IF(ISNUMBER(SpikeHorizon),SpikeHorizon,INDEX(Buffers!$D:$D,MATCH($H1312,Buffers!$AE:$AE,0))),0),$E1312&gt;=SpikePct*INDEX(Buffers!$P:$P,MATCH($H1312,Buffers!$AE:$AE,0))),"Spike","Not qualified"))))))</f>
        <v/>
      </c>
      <c r="G1312" s="8" t="str">
        <f aca="false">IF($A1312="","",IF(OR($F1312="Past due",$F1312="Due today",$F1312="Spike"),$C1312,0))</f>
        <v/>
      </c>
      <c r="H1312" s="8" t="str">
        <f aca="false">IF($A1312="","",SUBSTITUTE(SUBSTITUTE(SUBSTITUTE($A1312&amp;"","~","~~"),"*","~*"),"?","~?"))</f>
        <v/>
      </c>
    </row>
    <row r="1313" customFormat="false" ht="15" hidden="false" customHeight="false" outlineLevel="0" collapsed="false">
      <c r="A1313" s="11"/>
      <c r="B1313" s="6"/>
      <c r="C1313" s="11"/>
      <c r="D1313" s="11"/>
      <c r="E1313" s="8" t="str">
        <f aca="false">IF($A1313="","",SUMIFS($C:$C,$A:$A,$H1313,$B:$B,"&gt;="&amp;INT($B1313),$B:$B,"&lt;"&amp;(INT($B1313)+1)))</f>
        <v/>
      </c>
      <c r="F1313" s="19" t="str">
        <f aca="false">IF($A1313="","",IF(ISNA(MATCH($H1313,Buffers!$AE:$AE,0)),"Not on Buffers",IF(NOT(ISNUMBER($B1313)),"Needs a date",IF(INT($B1313)&lt;PlanDate,"Past due",IF(INT($B1313)=PlanDate,"Due today",IF(AND(INDEX(Buffers!$L:$L,MATCH($H1313,Buffers!$AE:$AE,0))="Planned",$E1313&gt;0,INT($B1313)&lt;=PlanDate+ROUNDUP(IF(ISNUMBER(SpikeHorizon),SpikeHorizon,INDEX(Buffers!$D:$D,MATCH($H1313,Buffers!$AE:$AE,0))),0),$E1313&gt;=SpikePct*INDEX(Buffers!$P:$P,MATCH($H1313,Buffers!$AE:$AE,0))),"Spike","Not qualified"))))))</f>
        <v/>
      </c>
      <c r="G1313" s="8" t="str">
        <f aca="false">IF($A1313="","",IF(OR($F1313="Past due",$F1313="Due today",$F1313="Spike"),$C1313,0))</f>
        <v/>
      </c>
      <c r="H1313" s="8" t="str">
        <f aca="false">IF($A1313="","",SUBSTITUTE(SUBSTITUTE(SUBSTITUTE($A1313&amp;"","~","~~"),"*","~*"),"?","~?"))</f>
        <v/>
      </c>
    </row>
    <row r="1314" customFormat="false" ht="15" hidden="false" customHeight="false" outlineLevel="0" collapsed="false">
      <c r="A1314" s="11"/>
      <c r="B1314" s="6"/>
      <c r="C1314" s="11"/>
      <c r="D1314" s="11"/>
      <c r="E1314" s="8" t="str">
        <f aca="false">IF($A1314="","",SUMIFS($C:$C,$A:$A,$H1314,$B:$B,"&gt;="&amp;INT($B1314),$B:$B,"&lt;"&amp;(INT($B1314)+1)))</f>
        <v/>
      </c>
      <c r="F1314" s="19" t="str">
        <f aca="false">IF($A1314="","",IF(ISNA(MATCH($H1314,Buffers!$AE:$AE,0)),"Not on Buffers",IF(NOT(ISNUMBER($B1314)),"Needs a date",IF(INT($B1314)&lt;PlanDate,"Past due",IF(INT($B1314)=PlanDate,"Due today",IF(AND(INDEX(Buffers!$L:$L,MATCH($H1314,Buffers!$AE:$AE,0))="Planned",$E1314&gt;0,INT($B1314)&lt;=PlanDate+ROUNDUP(IF(ISNUMBER(SpikeHorizon),SpikeHorizon,INDEX(Buffers!$D:$D,MATCH($H1314,Buffers!$AE:$AE,0))),0),$E1314&gt;=SpikePct*INDEX(Buffers!$P:$P,MATCH($H1314,Buffers!$AE:$AE,0))),"Spike","Not qualified"))))))</f>
        <v/>
      </c>
      <c r="G1314" s="8" t="str">
        <f aca="false">IF($A1314="","",IF(OR($F1314="Past due",$F1314="Due today",$F1314="Spike"),$C1314,0))</f>
        <v/>
      </c>
      <c r="H1314" s="8" t="str">
        <f aca="false">IF($A1314="","",SUBSTITUTE(SUBSTITUTE(SUBSTITUTE($A1314&amp;"","~","~~"),"*","~*"),"?","~?"))</f>
        <v/>
      </c>
    </row>
    <row r="1315" customFormat="false" ht="15" hidden="false" customHeight="false" outlineLevel="0" collapsed="false">
      <c r="A1315" s="11"/>
      <c r="B1315" s="6"/>
      <c r="C1315" s="11"/>
      <c r="D1315" s="11"/>
      <c r="E1315" s="8" t="str">
        <f aca="false">IF($A1315="","",SUMIFS($C:$C,$A:$A,$H1315,$B:$B,"&gt;="&amp;INT($B1315),$B:$B,"&lt;"&amp;(INT($B1315)+1)))</f>
        <v/>
      </c>
      <c r="F1315" s="19" t="str">
        <f aca="false">IF($A1315="","",IF(ISNA(MATCH($H1315,Buffers!$AE:$AE,0)),"Not on Buffers",IF(NOT(ISNUMBER($B1315)),"Needs a date",IF(INT($B1315)&lt;PlanDate,"Past due",IF(INT($B1315)=PlanDate,"Due today",IF(AND(INDEX(Buffers!$L:$L,MATCH($H1315,Buffers!$AE:$AE,0))="Planned",$E1315&gt;0,INT($B1315)&lt;=PlanDate+ROUNDUP(IF(ISNUMBER(SpikeHorizon),SpikeHorizon,INDEX(Buffers!$D:$D,MATCH($H1315,Buffers!$AE:$AE,0))),0),$E1315&gt;=SpikePct*INDEX(Buffers!$P:$P,MATCH($H1315,Buffers!$AE:$AE,0))),"Spike","Not qualified"))))))</f>
        <v/>
      </c>
      <c r="G1315" s="8" t="str">
        <f aca="false">IF($A1315="","",IF(OR($F1315="Past due",$F1315="Due today",$F1315="Spike"),$C1315,0))</f>
        <v/>
      </c>
      <c r="H1315" s="8" t="str">
        <f aca="false">IF($A1315="","",SUBSTITUTE(SUBSTITUTE(SUBSTITUTE($A1315&amp;"","~","~~"),"*","~*"),"?","~?"))</f>
        <v/>
      </c>
    </row>
    <row r="1316" customFormat="false" ht="15" hidden="false" customHeight="false" outlineLevel="0" collapsed="false">
      <c r="A1316" s="11"/>
      <c r="B1316" s="6"/>
      <c r="C1316" s="11"/>
      <c r="D1316" s="11"/>
      <c r="E1316" s="8" t="str">
        <f aca="false">IF($A1316="","",SUMIFS($C:$C,$A:$A,$H1316,$B:$B,"&gt;="&amp;INT($B1316),$B:$B,"&lt;"&amp;(INT($B1316)+1)))</f>
        <v/>
      </c>
      <c r="F1316" s="19" t="str">
        <f aca="false">IF($A1316="","",IF(ISNA(MATCH($H1316,Buffers!$AE:$AE,0)),"Not on Buffers",IF(NOT(ISNUMBER($B1316)),"Needs a date",IF(INT($B1316)&lt;PlanDate,"Past due",IF(INT($B1316)=PlanDate,"Due today",IF(AND(INDEX(Buffers!$L:$L,MATCH($H1316,Buffers!$AE:$AE,0))="Planned",$E1316&gt;0,INT($B1316)&lt;=PlanDate+ROUNDUP(IF(ISNUMBER(SpikeHorizon),SpikeHorizon,INDEX(Buffers!$D:$D,MATCH($H1316,Buffers!$AE:$AE,0))),0),$E1316&gt;=SpikePct*INDEX(Buffers!$P:$P,MATCH($H1316,Buffers!$AE:$AE,0))),"Spike","Not qualified"))))))</f>
        <v/>
      </c>
      <c r="G1316" s="8" t="str">
        <f aca="false">IF($A1316="","",IF(OR($F1316="Past due",$F1316="Due today",$F1316="Spike"),$C1316,0))</f>
        <v/>
      </c>
      <c r="H1316" s="8" t="str">
        <f aca="false">IF($A1316="","",SUBSTITUTE(SUBSTITUTE(SUBSTITUTE($A1316&amp;"","~","~~"),"*","~*"),"?","~?"))</f>
        <v/>
      </c>
    </row>
    <row r="1317" customFormat="false" ht="15" hidden="false" customHeight="false" outlineLevel="0" collapsed="false">
      <c r="A1317" s="11"/>
      <c r="B1317" s="6"/>
      <c r="C1317" s="11"/>
      <c r="D1317" s="11"/>
      <c r="E1317" s="8" t="str">
        <f aca="false">IF($A1317="","",SUMIFS($C:$C,$A:$A,$H1317,$B:$B,"&gt;="&amp;INT($B1317),$B:$B,"&lt;"&amp;(INT($B1317)+1)))</f>
        <v/>
      </c>
      <c r="F1317" s="19" t="str">
        <f aca="false">IF($A1317="","",IF(ISNA(MATCH($H1317,Buffers!$AE:$AE,0)),"Not on Buffers",IF(NOT(ISNUMBER($B1317)),"Needs a date",IF(INT($B1317)&lt;PlanDate,"Past due",IF(INT($B1317)=PlanDate,"Due today",IF(AND(INDEX(Buffers!$L:$L,MATCH($H1317,Buffers!$AE:$AE,0))="Planned",$E1317&gt;0,INT($B1317)&lt;=PlanDate+ROUNDUP(IF(ISNUMBER(SpikeHorizon),SpikeHorizon,INDEX(Buffers!$D:$D,MATCH($H1317,Buffers!$AE:$AE,0))),0),$E1317&gt;=SpikePct*INDEX(Buffers!$P:$P,MATCH($H1317,Buffers!$AE:$AE,0))),"Spike","Not qualified"))))))</f>
        <v/>
      </c>
      <c r="G1317" s="8" t="str">
        <f aca="false">IF($A1317="","",IF(OR($F1317="Past due",$F1317="Due today",$F1317="Spike"),$C1317,0))</f>
        <v/>
      </c>
      <c r="H1317" s="8" t="str">
        <f aca="false">IF($A1317="","",SUBSTITUTE(SUBSTITUTE(SUBSTITUTE($A1317&amp;"","~","~~"),"*","~*"),"?","~?"))</f>
        <v/>
      </c>
    </row>
    <row r="1318" customFormat="false" ht="15" hidden="false" customHeight="false" outlineLevel="0" collapsed="false">
      <c r="A1318" s="11"/>
      <c r="B1318" s="6"/>
      <c r="C1318" s="11"/>
      <c r="D1318" s="11"/>
      <c r="E1318" s="8" t="str">
        <f aca="false">IF($A1318="","",SUMIFS($C:$C,$A:$A,$H1318,$B:$B,"&gt;="&amp;INT($B1318),$B:$B,"&lt;"&amp;(INT($B1318)+1)))</f>
        <v/>
      </c>
      <c r="F1318" s="19" t="str">
        <f aca="false">IF($A1318="","",IF(ISNA(MATCH($H1318,Buffers!$AE:$AE,0)),"Not on Buffers",IF(NOT(ISNUMBER($B1318)),"Needs a date",IF(INT($B1318)&lt;PlanDate,"Past due",IF(INT($B1318)=PlanDate,"Due today",IF(AND(INDEX(Buffers!$L:$L,MATCH($H1318,Buffers!$AE:$AE,0))="Planned",$E1318&gt;0,INT($B1318)&lt;=PlanDate+ROUNDUP(IF(ISNUMBER(SpikeHorizon),SpikeHorizon,INDEX(Buffers!$D:$D,MATCH($H1318,Buffers!$AE:$AE,0))),0),$E1318&gt;=SpikePct*INDEX(Buffers!$P:$P,MATCH($H1318,Buffers!$AE:$AE,0))),"Spike","Not qualified"))))))</f>
        <v/>
      </c>
      <c r="G1318" s="8" t="str">
        <f aca="false">IF($A1318="","",IF(OR($F1318="Past due",$F1318="Due today",$F1318="Spike"),$C1318,0))</f>
        <v/>
      </c>
      <c r="H1318" s="8" t="str">
        <f aca="false">IF($A1318="","",SUBSTITUTE(SUBSTITUTE(SUBSTITUTE($A1318&amp;"","~","~~"),"*","~*"),"?","~?"))</f>
        <v/>
      </c>
    </row>
    <row r="1319" customFormat="false" ht="15" hidden="false" customHeight="false" outlineLevel="0" collapsed="false">
      <c r="A1319" s="11"/>
      <c r="B1319" s="6"/>
      <c r="C1319" s="11"/>
      <c r="D1319" s="11"/>
      <c r="E1319" s="8" t="str">
        <f aca="false">IF($A1319="","",SUMIFS($C:$C,$A:$A,$H1319,$B:$B,"&gt;="&amp;INT($B1319),$B:$B,"&lt;"&amp;(INT($B1319)+1)))</f>
        <v/>
      </c>
      <c r="F1319" s="19" t="str">
        <f aca="false">IF($A1319="","",IF(ISNA(MATCH($H1319,Buffers!$AE:$AE,0)),"Not on Buffers",IF(NOT(ISNUMBER($B1319)),"Needs a date",IF(INT($B1319)&lt;PlanDate,"Past due",IF(INT($B1319)=PlanDate,"Due today",IF(AND(INDEX(Buffers!$L:$L,MATCH($H1319,Buffers!$AE:$AE,0))="Planned",$E1319&gt;0,INT($B1319)&lt;=PlanDate+ROUNDUP(IF(ISNUMBER(SpikeHorizon),SpikeHorizon,INDEX(Buffers!$D:$D,MATCH($H1319,Buffers!$AE:$AE,0))),0),$E1319&gt;=SpikePct*INDEX(Buffers!$P:$P,MATCH($H1319,Buffers!$AE:$AE,0))),"Spike","Not qualified"))))))</f>
        <v/>
      </c>
      <c r="G1319" s="8" t="str">
        <f aca="false">IF($A1319="","",IF(OR($F1319="Past due",$F1319="Due today",$F1319="Spike"),$C1319,0))</f>
        <v/>
      </c>
      <c r="H1319" s="8" t="str">
        <f aca="false">IF($A1319="","",SUBSTITUTE(SUBSTITUTE(SUBSTITUTE($A1319&amp;"","~","~~"),"*","~*"),"?","~?"))</f>
        <v/>
      </c>
    </row>
    <row r="1320" customFormat="false" ht="15" hidden="false" customHeight="false" outlineLevel="0" collapsed="false">
      <c r="A1320" s="11"/>
      <c r="B1320" s="6"/>
      <c r="C1320" s="11"/>
      <c r="D1320" s="11"/>
      <c r="E1320" s="8" t="str">
        <f aca="false">IF($A1320="","",SUMIFS($C:$C,$A:$A,$H1320,$B:$B,"&gt;="&amp;INT($B1320),$B:$B,"&lt;"&amp;(INT($B1320)+1)))</f>
        <v/>
      </c>
      <c r="F1320" s="19" t="str">
        <f aca="false">IF($A1320="","",IF(ISNA(MATCH($H1320,Buffers!$AE:$AE,0)),"Not on Buffers",IF(NOT(ISNUMBER($B1320)),"Needs a date",IF(INT($B1320)&lt;PlanDate,"Past due",IF(INT($B1320)=PlanDate,"Due today",IF(AND(INDEX(Buffers!$L:$L,MATCH($H1320,Buffers!$AE:$AE,0))="Planned",$E1320&gt;0,INT($B1320)&lt;=PlanDate+ROUNDUP(IF(ISNUMBER(SpikeHorizon),SpikeHorizon,INDEX(Buffers!$D:$D,MATCH($H1320,Buffers!$AE:$AE,0))),0),$E1320&gt;=SpikePct*INDEX(Buffers!$P:$P,MATCH($H1320,Buffers!$AE:$AE,0))),"Spike","Not qualified"))))))</f>
        <v/>
      </c>
      <c r="G1320" s="8" t="str">
        <f aca="false">IF($A1320="","",IF(OR($F1320="Past due",$F1320="Due today",$F1320="Spike"),$C1320,0))</f>
        <v/>
      </c>
      <c r="H1320" s="8" t="str">
        <f aca="false">IF($A1320="","",SUBSTITUTE(SUBSTITUTE(SUBSTITUTE($A1320&amp;"","~","~~"),"*","~*"),"?","~?"))</f>
        <v/>
      </c>
    </row>
    <row r="1321" customFormat="false" ht="15" hidden="false" customHeight="false" outlineLevel="0" collapsed="false">
      <c r="A1321" s="11"/>
      <c r="B1321" s="6"/>
      <c r="C1321" s="11"/>
      <c r="D1321" s="11"/>
      <c r="E1321" s="8" t="str">
        <f aca="false">IF($A1321="","",SUMIFS($C:$C,$A:$A,$H1321,$B:$B,"&gt;="&amp;INT($B1321),$B:$B,"&lt;"&amp;(INT($B1321)+1)))</f>
        <v/>
      </c>
      <c r="F1321" s="19" t="str">
        <f aca="false">IF($A1321="","",IF(ISNA(MATCH($H1321,Buffers!$AE:$AE,0)),"Not on Buffers",IF(NOT(ISNUMBER($B1321)),"Needs a date",IF(INT($B1321)&lt;PlanDate,"Past due",IF(INT($B1321)=PlanDate,"Due today",IF(AND(INDEX(Buffers!$L:$L,MATCH($H1321,Buffers!$AE:$AE,0))="Planned",$E1321&gt;0,INT($B1321)&lt;=PlanDate+ROUNDUP(IF(ISNUMBER(SpikeHorizon),SpikeHorizon,INDEX(Buffers!$D:$D,MATCH($H1321,Buffers!$AE:$AE,0))),0),$E1321&gt;=SpikePct*INDEX(Buffers!$P:$P,MATCH($H1321,Buffers!$AE:$AE,0))),"Spike","Not qualified"))))))</f>
        <v/>
      </c>
      <c r="G1321" s="8" t="str">
        <f aca="false">IF($A1321="","",IF(OR($F1321="Past due",$F1321="Due today",$F1321="Spike"),$C1321,0))</f>
        <v/>
      </c>
      <c r="H1321" s="8" t="str">
        <f aca="false">IF($A1321="","",SUBSTITUTE(SUBSTITUTE(SUBSTITUTE($A1321&amp;"","~","~~"),"*","~*"),"?","~?"))</f>
        <v/>
      </c>
    </row>
    <row r="1322" customFormat="false" ht="15" hidden="false" customHeight="false" outlineLevel="0" collapsed="false">
      <c r="A1322" s="11"/>
      <c r="B1322" s="6"/>
      <c r="C1322" s="11"/>
      <c r="D1322" s="11"/>
      <c r="E1322" s="8" t="str">
        <f aca="false">IF($A1322="","",SUMIFS($C:$C,$A:$A,$H1322,$B:$B,"&gt;="&amp;INT($B1322),$B:$B,"&lt;"&amp;(INT($B1322)+1)))</f>
        <v/>
      </c>
      <c r="F1322" s="19" t="str">
        <f aca="false">IF($A1322="","",IF(ISNA(MATCH($H1322,Buffers!$AE:$AE,0)),"Not on Buffers",IF(NOT(ISNUMBER($B1322)),"Needs a date",IF(INT($B1322)&lt;PlanDate,"Past due",IF(INT($B1322)=PlanDate,"Due today",IF(AND(INDEX(Buffers!$L:$L,MATCH($H1322,Buffers!$AE:$AE,0))="Planned",$E1322&gt;0,INT($B1322)&lt;=PlanDate+ROUNDUP(IF(ISNUMBER(SpikeHorizon),SpikeHorizon,INDEX(Buffers!$D:$D,MATCH($H1322,Buffers!$AE:$AE,0))),0),$E1322&gt;=SpikePct*INDEX(Buffers!$P:$P,MATCH($H1322,Buffers!$AE:$AE,0))),"Spike","Not qualified"))))))</f>
        <v/>
      </c>
      <c r="G1322" s="8" t="str">
        <f aca="false">IF($A1322="","",IF(OR($F1322="Past due",$F1322="Due today",$F1322="Spike"),$C1322,0))</f>
        <v/>
      </c>
      <c r="H1322" s="8" t="str">
        <f aca="false">IF($A1322="","",SUBSTITUTE(SUBSTITUTE(SUBSTITUTE($A1322&amp;"","~","~~"),"*","~*"),"?","~?"))</f>
        <v/>
      </c>
    </row>
    <row r="1323" customFormat="false" ht="15" hidden="false" customHeight="false" outlineLevel="0" collapsed="false">
      <c r="A1323" s="11"/>
      <c r="B1323" s="6"/>
      <c r="C1323" s="11"/>
      <c r="D1323" s="11"/>
      <c r="E1323" s="8" t="str">
        <f aca="false">IF($A1323="","",SUMIFS($C:$C,$A:$A,$H1323,$B:$B,"&gt;="&amp;INT($B1323),$B:$B,"&lt;"&amp;(INT($B1323)+1)))</f>
        <v/>
      </c>
      <c r="F1323" s="19" t="str">
        <f aca="false">IF($A1323="","",IF(ISNA(MATCH($H1323,Buffers!$AE:$AE,0)),"Not on Buffers",IF(NOT(ISNUMBER($B1323)),"Needs a date",IF(INT($B1323)&lt;PlanDate,"Past due",IF(INT($B1323)=PlanDate,"Due today",IF(AND(INDEX(Buffers!$L:$L,MATCH($H1323,Buffers!$AE:$AE,0))="Planned",$E1323&gt;0,INT($B1323)&lt;=PlanDate+ROUNDUP(IF(ISNUMBER(SpikeHorizon),SpikeHorizon,INDEX(Buffers!$D:$D,MATCH($H1323,Buffers!$AE:$AE,0))),0),$E1323&gt;=SpikePct*INDEX(Buffers!$P:$P,MATCH($H1323,Buffers!$AE:$AE,0))),"Spike","Not qualified"))))))</f>
        <v/>
      </c>
      <c r="G1323" s="8" t="str">
        <f aca="false">IF($A1323="","",IF(OR($F1323="Past due",$F1323="Due today",$F1323="Spike"),$C1323,0))</f>
        <v/>
      </c>
      <c r="H1323" s="8" t="str">
        <f aca="false">IF($A1323="","",SUBSTITUTE(SUBSTITUTE(SUBSTITUTE($A1323&amp;"","~","~~"),"*","~*"),"?","~?"))</f>
        <v/>
      </c>
    </row>
    <row r="1324" customFormat="false" ht="15" hidden="false" customHeight="false" outlineLevel="0" collapsed="false">
      <c r="A1324" s="11"/>
      <c r="B1324" s="6"/>
      <c r="C1324" s="11"/>
      <c r="D1324" s="11"/>
      <c r="E1324" s="8" t="str">
        <f aca="false">IF($A1324="","",SUMIFS($C:$C,$A:$A,$H1324,$B:$B,"&gt;="&amp;INT($B1324),$B:$B,"&lt;"&amp;(INT($B1324)+1)))</f>
        <v/>
      </c>
      <c r="F1324" s="19" t="str">
        <f aca="false">IF($A1324="","",IF(ISNA(MATCH($H1324,Buffers!$AE:$AE,0)),"Not on Buffers",IF(NOT(ISNUMBER($B1324)),"Needs a date",IF(INT($B1324)&lt;PlanDate,"Past due",IF(INT($B1324)=PlanDate,"Due today",IF(AND(INDEX(Buffers!$L:$L,MATCH($H1324,Buffers!$AE:$AE,0))="Planned",$E1324&gt;0,INT($B1324)&lt;=PlanDate+ROUNDUP(IF(ISNUMBER(SpikeHorizon),SpikeHorizon,INDEX(Buffers!$D:$D,MATCH($H1324,Buffers!$AE:$AE,0))),0),$E1324&gt;=SpikePct*INDEX(Buffers!$P:$P,MATCH($H1324,Buffers!$AE:$AE,0))),"Spike","Not qualified"))))))</f>
        <v/>
      </c>
      <c r="G1324" s="8" t="str">
        <f aca="false">IF($A1324="","",IF(OR($F1324="Past due",$F1324="Due today",$F1324="Spike"),$C1324,0))</f>
        <v/>
      </c>
      <c r="H1324" s="8" t="str">
        <f aca="false">IF($A1324="","",SUBSTITUTE(SUBSTITUTE(SUBSTITUTE($A1324&amp;"","~","~~"),"*","~*"),"?","~?"))</f>
        <v/>
      </c>
    </row>
    <row r="1325" customFormat="false" ht="15" hidden="false" customHeight="false" outlineLevel="0" collapsed="false">
      <c r="A1325" s="11"/>
      <c r="B1325" s="6"/>
      <c r="C1325" s="11"/>
      <c r="D1325" s="11"/>
      <c r="E1325" s="8" t="str">
        <f aca="false">IF($A1325="","",SUMIFS($C:$C,$A:$A,$H1325,$B:$B,"&gt;="&amp;INT($B1325),$B:$B,"&lt;"&amp;(INT($B1325)+1)))</f>
        <v/>
      </c>
      <c r="F1325" s="19" t="str">
        <f aca="false">IF($A1325="","",IF(ISNA(MATCH($H1325,Buffers!$AE:$AE,0)),"Not on Buffers",IF(NOT(ISNUMBER($B1325)),"Needs a date",IF(INT($B1325)&lt;PlanDate,"Past due",IF(INT($B1325)=PlanDate,"Due today",IF(AND(INDEX(Buffers!$L:$L,MATCH($H1325,Buffers!$AE:$AE,0))="Planned",$E1325&gt;0,INT($B1325)&lt;=PlanDate+ROUNDUP(IF(ISNUMBER(SpikeHorizon),SpikeHorizon,INDEX(Buffers!$D:$D,MATCH($H1325,Buffers!$AE:$AE,0))),0),$E1325&gt;=SpikePct*INDEX(Buffers!$P:$P,MATCH($H1325,Buffers!$AE:$AE,0))),"Spike","Not qualified"))))))</f>
        <v/>
      </c>
      <c r="G1325" s="8" t="str">
        <f aca="false">IF($A1325="","",IF(OR($F1325="Past due",$F1325="Due today",$F1325="Spike"),$C1325,0))</f>
        <v/>
      </c>
      <c r="H1325" s="8" t="str">
        <f aca="false">IF($A1325="","",SUBSTITUTE(SUBSTITUTE(SUBSTITUTE($A1325&amp;"","~","~~"),"*","~*"),"?","~?"))</f>
        <v/>
      </c>
    </row>
    <row r="1326" customFormat="false" ht="15" hidden="false" customHeight="false" outlineLevel="0" collapsed="false">
      <c r="A1326" s="11"/>
      <c r="B1326" s="6"/>
      <c r="C1326" s="11"/>
      <c r="D1326" s="11"/>
      <c r="E1326" s="8" t="str">
        <f aca="false">IF($A1326="","",SUMIFS($C:$C,$A:$A,$H1326,$B:$B,"&gt;="&amp;INT($B1326),$B:$B,"&lt;"&amp;(INT($B1326)+1)))</f>
        <v/>
      </c>
      <c r="F1326" s="19" t="str">
        <f aca="false">IF($A1326="","",IF(ISNA(MATCH($H1326,Buffers!$AE:$AE,0)),"Not on Buffers",IF(NOT(ISNUMBER($B1326)),"Needs a date",IF(INT($B1326)&lt;PlanDate,"Past due",IF(INT($B1326)=PlanDate,"Due today",IF(AND(INDEX(Buffers!$L:$L,MATCH($H1326,Buffers!$AE:$AE,0))="Planned",$E1326&gt;0,INT($B1326)&lt;=PlanDate+ROUNDUP(IF(ISNUMBER(SpikeHorizon),SpikeHorizon,INDEX(Buffers!$D:$D,MATCH($H1326,Buffers!$AE:$AE,0))),0),$E1326&gt;=SpikePct*INDEX(Buffers!$P:$P,MATCH($H1326,Buffers!$AE:$AE,0))),"Spike","Not qualified"))))))</f>
        <v/>
      </c>
      <c r="G1326" s="8" t="str">
        <f aca="false">IF($A1326="","",IF(OR($F1326="Past due",$F1326="Due today",$F1326="Spike"),$C1326,0))</f>
        <v/>
      </c>
      <c r="H1326" s="8" t="str">
        <f aca="false">IF($A1326="","",SUBSTITUTE(SUBSTITUTE(SUBSTITUTE($A1326&amp;"","~","~~"),"*","~*"),"?","~?"))</f>
        <v/>
      </c>
    </row>
    <row r="1327" customFormat="false" ht="15" hidden="false" customHeight="false" outlineLevel="0" collapsed="false">
      <c r="A1327" s="11"/>
      <c r="B1327" s="6"/>
      <c r="C1327" s="11"/>
      <c r="D1327" s="11"/>
      <c r="E1327" s="8" t="str">
        <f aca="false">IF($A1327="","",SUMIFS($C:$C,$A:$A,$H1327,$B:$B,"&gt;="&amp;INT($B1327),$B:$B,"&lt;"&amp;(INT($B1327)+1)))</f>
        <v/>
      </c>
      <c r="F1327" s="19" t="str">
        <f aca="false">IF($A1327="","",IF(ISNA(MATCH($H1327,Buffers!$AE:$AE,0)),"Not on Buffers",IF(NOT(ISNUMBER($B1327)),"Needs a date",IF(INT($B1327)&lt;PlanDate,"Past due",IF(INT($B1327)=PlanDate,"Due today",IF(AND(INDEX(Buffers!$L:$L,MATCH($H1327,Buffers!$AE:$AE,0))="Planned",$E1327&gt;0,INT($B1327)&lt;=PlanDate+ROUNDUP(IF(ISNUMBER(SpikeHorizon),SpikeHorizon,INDEX(Buffers!$D:$D,MATCH($H1327,Buffers!$AE:$AE,0))),0),$E1327&gt;=SpikePct*INDEX(Buffers!$P:$P,MATCH($H1327,Buffers!$AE:$AE,0))),"Spike","Not qualified"))))))</f>
        <v/>
      </c>
      <c r="G1327" s="8" t="str">
        <f aca="false">IF($A1327="","",IF(OR($F1327="Past due",$F1327="Due today",$F1327="Spike"),$C1327,0))</f>
        <v/>
      </c>
      <c r="H1327" s="8" t="str">
        <f aca="false">IF($A1327="","",SUBSTITUTE(SUBSTITUTE(SUBSTITUTE($A1327&amp;"","~","~~"),"*","~*"),"?","~?"))</f>
        <v/>
      </c>
    </row>
    <row r="1328" customFormat="false" ht="15" hidden="false" customHeight="false" outlineLevel="0" collapsed="false">
      <c r="A1328" s="11"/>
      <c r="B1328" s="6"/>
      <c r="C1328" s="11"/>
      <c r="D1328" s="11"/>
      <c r="E1328" s="8" t="str">
        <f aca="false">IF($A1328="","",SUMIFS($C:$C,$A:$A,$H1328,$B:$B,"&gt;="&amp;INT($B1328),$B:$B,"&lt;"&amp;(INT($B1328)+1)))</f>
        <v/>
      </c>
      <c r="F1328" s="19" t="str">
        <f aca="false">IF($A1328="","",IF(ISNA(MATCH($H1328,Buffers!$AE:$AE,0)),"Not on Buffers",IF(NOT(ISNUMBER($B1328)),"Needs a date",IF(INT($B1328)&lt;PlanDate,"Past due",IF(INT($B1328)=PlanDate,"Due today",IF(AND(INDEX(Buffers!$L:$L,MATCH($H1328,Buffers!$AE:$AE,0))="Planned",$E1328&gt;0,INT($B1328)&lt;=PlanDate+ROUNDUP(IF(ISNUMBER(SpikeHorizon),SpikeHorizon,INDEX(Buffers!$D:$D,MATCH($H1328,Buffers!$AE:$AE,0))),0),$E1328&gt;=SpikePct*INDEX(Buffers!$P:$P,MATCH($H1328,Buffers!$AE:$AE,0))),"Spike","Not qualified"))))))</f>
        <v/>
      </c>
      <c r="G1328" s="8" t="str">
        <f aca="false">IF($A1328="","",IF(OR($F1328="Past due",$F1328="Due today",$F1328="Spike"),$C1328,0))</f>
        <v/>
      </c>
      <c r="H1328" s="8" t="str">
        <f aca="false">IF($A1328="","",SUBSTITUTE(SUBSTITUTE(SUBSTITUTE($A1328&amp;"","~","~~"),"*","~*"),"?","~?"))</f>
        <v/>
      </c>
    </row>
    <row r="1329" customFormat="false" ht="15" hidden="false" customHeight="false" outlineLevel="0" collapsed="false">
      <c r="A1329" s="11"/>
      <c r="B1329" s="6"/>
      <c r="C1329" s="11"/>
      <c r="D1329" s="11"/>
      <c r="E1329" s="8" t="str">
        <f aca="false">IF($A1329="","",SUMIFS($C:$C,$A:$A,$H1329,$B:$B,"&gt;="&amp;INT($B1329),$B:$B,"&lt;"&amp;(INT($B1329)+1)))</f>
        <v/>
      </c>
      <c r="F1329" s="19" t="str">
        <f aca="false">IF($A1329="","",IF(ISNA(MATCH($H1329,Buffers!$AE:$AE,0)),"Not on Buffers",IF(NOT(ISNUMBER($B1329)),"Needs a date",IF(INT($B1329)&lt;PlanDate,"Past due",IF(INT($B1329)=PlanDate,"Due today",IF(AND(INDEX(Buffers!$L:$L,MATCH($H1329,Buffers!$AE:$AE,0))="Planned",$E1329&gt;0,INT($B1329)&lt;=PlanDate+ROUNDUP(IF(ISNUMBER(SpikeHorizon),SpikeHorizon,INDEX(Buffers!$D:$D,MATCH($H1329,Buffers!$AE:$AE,0))),0),$E1329&gt;=SpikePct*INDEX(Buffers!$P:$P,MATCH($H1329,Buffers!$AE:$AE,0))),"Spike","Not qualified"))))))</f>
        <v/>
      </c>
      <c r="G1329" s="8" t="str">
        <f aca="false">IF($A1329="","",IF(OR($F1329="Past due",$F1329="Due today",$F1329="Spike"),$C1329,0))</f>
        <v/>
      </c>
      <c r="H1329" s="8" t="str">
        <f aca="false">IF($A1329="","",SUBSTITUTE(SUBSTITUTE(SUBSTITUTE($A1329&amp;"","~","~~"),"*","~*"),"?","~?"))</f>
        <v/>
      </c>
    </row>
    <row r="1330" customFormat="false" ht="15" hidden="false" customHeight="false" outlineLevel="0" collapsed="false">
      <c r="A1330" s="11"/>
      <c r="B1330" s="6"/>
      <c r="C1330" s="11"/>
      <c r="D1330" s="11"/>
      <c r="E1330" s="8" t="str">
        <f aca="false">IF($A1330="","",SUMIFS($C:$C,$A:$A,$H1330,$B:$B,"&gt;="&amp;INT($B1330),$B:$B,"&lt;"&amp;(INT($B1330)+1)))</f>
        <v/>
      </c>
      <c r="F1330" s="19" t="str">
        <f aca="false">IF($A1330="","",IF(ISNA(MATCH($H1330,Buffers!$AE:$AE,0)),"Not on Buffers",IF(NOT(ISNUMBER($B1330)),"Needs a date",IF(INT($B1330)&lt;PlanDate,"Past due",IF(INT($B1330)=PlanDate,"Due today",IF(AND(INDEX(Buffers!$L:$L,MATCH($H1330,Buffers!$AE:$AE,0))="Planned",$E1330&gt;0,INT($B1330)&lt;=PlanDate+ROUNDUP(IF(ISNUMBER(SpikeHorizon),SpikeHorizon,INDEX(Buffers!$D:$D,MATCH($H1330,Buffers!$AE:$AE,0))),0),$E1330&gt;=SpikePct*INDEX(Buffers!$P:$P,MATCH($H1330,Buffers!$AE:$AE,0))),"Spike","Not qualified"))))))</f>
        <v/>
      </c>
      <c r="G1330" s="8" t="str">
        <f aca="false">IF($A1330="","",IF(OR($F1330="Past due",$F1330="Due today",$F1330="Spike"),$C1330,0))</f>
        <v/>
      </c>
      <c r="H1330" s="8" t="str">
        <f aca="false">IF($A1330="","",SUBSTITUTE(SUBSTITUTE(SUBSTITUTE($A1330&amp;"","~","~~"),"*","~*"),"?","~?"))</f>
        <v/>
      </c>
    </row>
    <row r="1331" customFormat="false" ht="15" hidden="false" customHeight="false" outlineLevel="0" collapsed="false">
      <c r="A1331" s="11"/>
      <c r="B1331" s="6"/>
      <c r="C1331" s="11"/>
      <c r="D1331" s="11"/>
      <c r="E1331" s="8" t="str">
        <f aca="false">IF($A1331="","",SUMIFS($C:$C,$A:$A,$H1331,$B:$B,"&gt;="&amp;INT($B1331),$B:$B,"&lt;"&amp;(INT($B1331)+1)))</f>
        <v/>
      </c>
      <c r="F1331" s="19" t="str">
        <f aca="false">IF($A1331="","",IF(ISNA(MATCH($H1331,Buffers!$AE:$AE,0)),"Not on Buffers",IF(NOT(ISNUMBER($B1331)),"Needs a date",IF(INT($B1331)&lt;PlanDate,"Past due",IF(INT($B1331)=PlanDate,"Due today",IF(AND(INDEX(Buffers!$L:$L,MATCH($H1331,Buffers!$AE:$AE,0))="Planned",$E1331&gt;0,INT($B1331)&lt;=PlanDate+ROUNDUP(IF(ISNUMBER(SpikeHorizon),SpikeHorizon,INDEX(Buffers!$D:$D,MATCH($H1331,Buffers!$AE:$AE,0))),0),$E1331&gt;=SpikePct*INDEX(Buffers!$P:$P,MATCH($H1331,Buffers!$AE:$AE,0))),"Spike","Not qualified"))))))</f>
        <v/>
      </c>
      <c r="G1331" s="8" t="str">
        <f aca="false">IF($A1331="","",IF(OR($F1331="Past due",$F1331="Due today",$F1331="Spike"),$C1331,0))</f>
        <v/>
      </c>
      <c r="H1331" s="8" t="str">
        <f aca="false">IF($A1331="","",SUBSTITUTE(SUBSTITUTE(SUBSTITUTE($A1331&amp;"","~","~~"),"*","~*"),"?","~?"))</f>
        <v/>
      </c>
    </row>
    <row r="1332" customFormat="false" ht="15" hidden="false" customHeight="false" outlineLevel="0" collapsed="false">
      <c r="A1332" s="11"/>
      <c r="B1332" s="6"/>
      <c r="C1332" s="11"/>
      <c r="D1332" s="11"/>
      <c r="E1332" s="8" t="str">
        <f aca="false">IF($A1332="","",SUMIFS($C:$C,$A:$A,$H1332,$B:$B,"&gt;="&amp;INT($B1332),$B:$B,"&lt;"&amp;(INT($B1332)+1)))</f>
        <v/>
      </c>
      <c r="F1332" s="19" t="str">
        <f aca="false">IF($A1332="","",IF(ISNA(MATCH($H1332,Buffers!$AE:$AE,0)),"Not on Buffers",IF(NOT(ISNUMBER($B1332)),"Needs a date",IF(INT($B1332)&lt;PlanDate,"Past due",IF(INT($B1332)=PlanDate,"Due today",IF(AND(INDEX(Buffers!$L:$L,MATCH($H1332,Buffers!$AE:$AE,0))="Planned",$E1332&gt;0,INT($B1332)&lt;=PlanDate+ROUNDUP(IF(ISNUMBER(SpikeHorizon),SpikeHorizon,INDEX(Buffers!$D:$D,MATCH($H1332,Buffers!$AE:$AE,0))),0),$E1332&gt;=SpikePct*INDEX(Buffers!$P:$P,MATCH($H1332,Buffers!$AE:$AE,0))),"Spike","Not qualified"))))))</f>
        <v/>
      </c>
      <c r="G1332" s="8" t="str">
        <f aca="false">IF($A1332="","",IF(OR($F1332="Past due",$F1332="Due today",$F1332="Spike"),$C1332,0))</f>
        <v/>
      </c>
      <c r="H1332" s="8" t="str">
        <f aca="false">IF($A1332="","",SUBSTITUTE(SUBSTITUTE(SUBSTITUTE($A1332&amp;"","~","~~"),"*","~*"),"?","~?"))</f>
        <v/>
      </c>
    </row>
    <row r="1333" customFormat="false" ht="15" hidden="false" customHeight="false" outlineLevel="0" collapsed="false">
      <c r="A1333" s="11"/>
      <c r="B1333" s="6"/>
      <c r="C1333" s="11"/>
      <c r="D1333" s="11"/>
      <c r="E1333" s="8" t="str">
        <f aca="false">IF($A1333="","",SUMIFS($C:$C,$A:$A,$H1333,$B:$B,"&gt;="&amp;INT($B1333),$B:$B,"&lt;"&amp;(INT($B1333)+1)))</f>
        <v/>
      </c>
      <c r="F1333" s="19" t="str">
        <f aca="false">IF($A1333="","",IF(ISNA(MATCH($H1333,Buffers!$AE:$AE,0)),"Not on Buffers",IF(NOT(ISNUMBER($B1333)),"Needs a date",IF(INT($B1333)&lt;PlanDate,"Past due",IF(INT($B1333)=PlanDate,"Due today",IF(AND(INDEX(Buffers!$L:$L,MATCH($H1333,Buffers!$AE:$AE,0))="Planned",$E1333&gt;0,INT($B1333)&lt;=PlanDate+ROUNDUP(IF(ISNUMBER(SpikeHorizon),SpikeHorizon,INDEX(Buffers!$D:$D,MATCH($H1333,Buffers!$AE:$AE,0))),0),$E1333&gt;=SpikePct*INDEX(Buffers!$P:$P,MATCH($H1333,Buffers!$AE:$AE,0))),"Spike","Not qualified"))))))</f>
        <v/>
      </c>
      <c r="G1333" s="8" t="str">
        <f aca="false">IF($A1333="","",IF(OR($F1333="Past due",$F1333="Due today",$F1333="Spike"),$C1333,0))</f>
        <v/>
      </c>
      <c r="H1333" s="8" t="str">
        <f aca="false">IF($A1333="","",SUBSTITUTE(SUBSTITUTE(SUBSTITUTE($A1333&amp;"","~","~~"),"*","~*"),"?","~?"))</f>
        <v/>
      </c>
    </row>
    <row r="1334" customFormat="false" ht="15" hidden="false" customHeight="false" outlineLevel="0" collapsed="false">
      <c r="A1334" s="11"/>
      <c r="B1334" s="6"/>
      <c r="C1334" s="11"/>
      <c r="D1334" s="11"/>
      <c r="E1334" s="8" t="str">
        <f aca="false">IF($A1334="","",SUMIFS($C:$C,$A:$A,$H1334,$B:$B,"&gt;="&amp;INT($B1334),$B:$B,"&lt;"&amp;(INT($B1334)+1)))</f>
        <v/>
      </c>
      <c r="F1334" s="19" t="str">
        <f aca="false">IF($A1334="","",IF(ISNA(MATCH($H1334,Buffers!$AE:$AE,0)),"Not on Buffers",IF(NOT(ISNUMBER($B1334)),"Needs a date",IF(INT($B1334)&lt;PlanDate,"Past due",IF(INT($B1334)=PlanDate,"Due today",IF(AND(INDEX(Buffers!$L:$L,MATCH($H1334,Buffers!$AE:$AE,0))="Planned",$E1334&gt;0,INT($B1334)&lt;=PlanDate+ROUNDUP(IF(ISNUMBER(SpikeHorizon),SpikeHorizon,INDEX(Buffers!$D:$D,MATCH($H1334,Buffers!$AE:$AE,0))),0),$E1334&gt;=SpikePct*INDEX(Buffers!$P:$P,MATCH($H1334,Buffers!$AE:$AE,0))),"Spike","Not qualified"))))))</f>
        <v/>
      </c>
      <c r="G1334" s="8" t="str">
        <f aca="false">IF($A1334="","",IF(OR($F1334="Past due",$F1334="Due today",$F1334="Spike"),$C1334,0))</f>
        <v/>
      </c>
      <c r="H1334" s="8" t="str">
        <f aca="false">IF($A1334="","",SUBSTITUTE(SUBSTITUTE(SUBSTITUTE($A1334&amp;"","~","~~"),"*","~*"),"?","~?"))</f>
        <v/>
      </c>
    </row>
    <row r="1335" customFormat="false" ht="15" hidden="false" customHeight="false" outlineLevel="0" collapsed="false">
      <c r="A1335" s="11"/>
      <c r="B1335" s="6"/>
      <c r="C1335" s="11"/>
      <c r="D1335" s="11"/>
      <c r="E1335" s="8" t="str">
        <f aca="false">IF($A1335="","",SUMIFS($C:$C,$A:$A,$H1335,$B:$B,"&gt;="&amp;INT($B1335),$B:$B,"&lt;"&amp;(INT($B1335)+1)))</f>
        <v/>
      </c>
      <c r="F1335" s="19" t="str">
        <f aca="false">IF($A1335="","",IF(ISNA(MATCH($H1335,Buffers!$AE:$AE,0)),"Not on Buffers",IF(NOT(ISNUMBER($B1335)),"Needs a date",IF(INT($B1335)&lt;PlanDate,"Past due",IF(INT($B1335)=PlanDate,"Due today",IF(AND(INDEX(Buffers!$L:$L,MATCH($H1335,Buffers!$AE:$AE,0))="Planned",$E1335&gt;0,INT($B1335)&lt;=PlanDate+ROUNDUP(IF(ISNUMBER(SpikeHorizon),SpikeHorizon,INDEX(Buffers!$D:$D,MATCH($H1335,Buffers!$AE:$AE,0))),0),$E1335&gt;=SpikePct*INDEX(Buffers!$P:$P,MATCH($H1335,Buffers!$AE:$AE,0))),"Spike","Not qualified"))))))</f>
        <v/>
      </c>
      <c r="G1335" s="8" t="str">
        <f aca="false">IF($A1335="","",IF(OR($F1335="Past due",$F1335="Due today",$F1335="Spike"),$C1335,0))</f>
        <v/>
      </c>
      <c r="H1335" s="8" t="str">
        <f aca="false">IF($A1335="","",SUBSTITUTE(SUBSTITUTE(SUBSTITUTE($A1335&amp;"","~","~~"),"*","~*"),"?","~?"))</f>
        <v/>
      </c>
    </row>
    <row r="1336" customFormat="false" ht="15" hidden="false" customHeight="false" outlineLevel="0" collapsed="false">
      <c r="A1336" s="11"/>
      <c r="B1336" s="6"/>
      <c r="C1336" s="11"/>
      <c r="D1336" s="11"/>
      <c r="E1336" s="8" t="str">
        <f aca="false">IF($A1336="","",SUMIFS($C:$C,$A:$A,$H1336,$B:$B,"&gt;="&amp;INT($B1336),$B:$B,"&lt;"&amp;(INT($B1336)+1)))</f>
        <v/>
      </c>
      <c r="F1336" s="19" t="str">
        <f aca="false">IF($A1336="","",IF(ISNA(MATCH($H1336,Buffers!$AE:$AE,0)),"Not on Buffers",IF(NOT(ISNUMBER($B1336)),"Needs a date",IF(INT($B1336)&lt;PlanDate,"Past due",IF(INT($B1336)=PlanDate,"Due today",IF(AND(INDEX(Buffers!$L:$L,MATCH($H1336,Buffers!$AE:$AE,0))="Planned",$E1336&gt;0,INT($B1336)&lt;=PlanDate+ROUNDUP(IF(ISNUMBER(SpikeHorizon),SpikeHorizon,INDEX(Buffers!$D:$D,MATCH($H1336,Buffers!$AE:$AE,0))),0),$E1336&gt;=SpikePct*INDEX(Buffers!$P:$P,MATCH($H1336,Buffers!$AE:$AE,0))),"Spike","Not qualified"))))))</f>
        <v/>
      </c>
      <c r="G1336" s="8" t="str">
        <f aca="false">IF($A1336="","",IF(OR($F1336="Past due",$F1336="Due today",$F1336="Spike"),$C1336,0))</f>
        <v/>
      </c>
      <c r="H1336" s="8" t="str">
        <f aca="false">IF($A1336="","",SUBSTITUTE(SUBSTITUTE(SUBSTITUTE($A1336&amp;"","~","~~"),"*","~*"),"?","~?"))</f>
        <v/>
      </c>
    </row>
    <row r="1337" customFormat="false" ht="15" hidden="false" customHeight="false" outlineLevel="0" collapsed="false">
      <c r="A1337" s="11"/>
      <c r="B1337" s="6"/>
      <c r="C1337" s="11"/>
      <c r="D1337" s="11"/>
      <c r="E1337" s="8" t="str">
        <f aca="false">IF($A1337="","",SUMIFS($C:$C,$A:$A,$H1337,$B:$B,"&gt;="&amp;INT($B1337),$B:$B,"&lt;"&amp;(INT($B1337)+1)))</f>
        <v/>
      </c>
      <c r="F1337" s="19" t="str">
        <f aca="false">IF($A1337="","",IF(ISNA(MATCH($H1337,Buffers!$AE:$AE,0)),"Not on Buffers",IF(NOT(ISNUMBER($B1337)),"Needs a date",IF(INT($B1337)&lt;PlanDate,"Past due",IF(INT($B1337)=PlanDate,"Due today",IF(AND(INDEX(Buffers!$L:$L,MATCH($H1337,Buffers!$AE:$AE,0))="Planned",$E1337&gt;0,INT($B1337)&lt;=PlanDate+ROUNDUP(IF(ISNUMBER(SpikeHorizon),SpikeHorizon,INDEX(Buffers!$D:$D,MATCH($H1337,Buffers!$AE:$AE,0))),0),$E1337&gt;=SpikePct*INDEX(Buffers!$P:$P,MATCH($H1337,Buffers!$AE:$AE,0))),"Spike","Not qualified"))))))</f>
        <v/>
      </c>
      <c r="G1337" s="8" t="str">
        <f aca="false">IF($A1337="","",IF(OR($F1337="Past due",$F1337="Due today",$F1337="Spike"),$C1337,0))</f>
        <v/>
      </c>
      <c r="H1337" s="8" t="str">
        <f aca="false">IF($A1337="","",SUBSTITUTE(SUBSTITUTE(SUBSTITUTE($A1337&amp;"","~","~~"),"*","~*"),"?","~?"))</f>
        <v/>
      </c>
    </row>
    <row r="1338" customFormat="false" ht="15" hidden="false" customHeight="false" outlineLevel="0" collapsed="false">
      <c r="A1338" s="11"/>
      <c r="B1338" s="6"/>
      <c r="C1338" s="11"/>
      <c r="D1338" s="11"/>
      <c r="E1338" s="8" t="str">
        <f aca="false">IF($A1338="","",SUMIFS($C:$C,$A:$A,$H1338,$B:$B,"&gt;="&amp;INT($B1338),$B:$B,"&lt;"&amp;(INT($B1338)+1)))</f>
        <v/>
      </c>
      <c r="F1338" s="19" t="str">
        <f aca="false">IF($A1338="","",IF(ISNA(MATCH($H1338,Buffers!$AE:$AE,0)),"Not on Buffers",IF(NOT(ISNUMBER($B1338)),"Needs a date",IF(INT($B1338)&lt;PlanDate,"Past due",IF(INT($B1338)=PlanDate,"Due today",IF(AND(INDEX(Buffers!$L:$L,MATCH($H1338,Buffers!$AE:$AE,0))="Planned",$E1338&gt;0,INT($B1338)&lt;=PlanDate+ROUNDUP(IF(ISNUMBER(SpikeHorizon),SpikeHorizon,INDEX(Buffers!$D:$D,MATCH($H1338,Buffers!$AE:$AE,0))),0),$E1338&gt;=SpikePct*INDEX(Buffers!$P:$P,MATCH($H1338,Buffers!$AE:$AE,0))),"Spike","Not qualified"))))))</f>
        <v/>
      </c>
      <c r="G1338" s="8" t="str">
        <f aca="false">IF($A1338="","",IF(OR($F1338="Past due",$F1338="Due today",$F1338="Spike"),$C1338,0))</f>
        <v/>
      </c>
      <c r="H1338" s="8" t="str">
        <f aca="false">IF($A1338="","",SUBSTITUTE(SUBSTITUTE(SUBSTITUTE($A1338&amp;"","~","~~"),"*","~*"),"?","~?"))</f>
        <v/>
      </c>
    </row>
    <row r="1339" customFormat="false" ht="15" hidden="false" customHeight="false" outlineLevel="0" collapsed="false">
      <c r="A1339" s="11"/>
      <c r="B1339" s="6"/>
      <c r="C1339" s="11"/>
      <c r="D1339" s="11"/>
      <c r="E1339" s="8" t="str">
        <f aca="false">IF($A1339="","",SUMIFS($C:$C,$A:$A,$H1339,$B:$B,"&gt;="&amp;INT($B1339),$B:$B,"&lt;"&amp;(INT($B1339)+1)))</f>
        <v/>
      </c>
      <c r="F1339" s="19" t="str">
        <f aca="false">IF($A1339="","",IF(ISNA(MATCH($H1339,Buffers!$AE:$AE,0)),"Not on Buffers",IF(NOT(ISNUMBER($B1339)),"Needs a date",IF(INT($B1339)&lt;PlanDate,"Past due",IF(INT($B1339)=PlanDate,"Due today",IF(AND(INDEX(Buffers!$L:$L,MATCH($H1339,Buffers!$AE:$AE,0))="Planned",$E1339&gt;0,INT($B1339)&lt;=PlanDate+ROUNDUP(IF(ISNUMBER(SpikeHorizon),SpikeHorizon,INDEX(Buffers!$D:$D,MATCH($H1339,Buffers!$AE:$AE,0))),0),$E1339&gt;=SpikePct*INDEX(Buffers!$P:$P,MATCH($H1339,Buffers!$AE:$AE,0))),"Spike","Not qualified"))))))</f>
        <v/>
      </c>
      <c r="G1339" s="8" t="str">
        <f aca="false">IF($A1339="","",IF(OR($F1339="Past due",$F1339="Due today",$F1339="Spike"),$C1339,0))</f>
        <v/>
      </c>
      <c r="H1339" s="8" t="str">
        <f aca="false">IF($A1339="","",SUBSTITUTE(SUBSTITUTE(SUBSTITUTE($A1339&amp;"","~","~~"),"*","~*"),"?","~?"))</f>
        <v/>
      </c>
    </row>
    <row r="1340" customFormat="false" ht="15" hidden="false" customHeight="false" outlineLevel="0" collapsed="false">
      <c r="A1340" s="11"/>
      <c r="B1340" s="6"/>
      <c r="C1340" s="11"/>
      <c r="D1340" s="11"/>
      <c r="E1340" s="8" t="str">
        <f aca="false">IF($A1340="","",SUMIFS($C:$C,$A:$A,$H1340,$B:$B,"&gt;="&amp;INT($B1340),$B:$B,"&lt;"&amp;(INT($B1340)+1)))</f>
        <v/>
      </c>
      <c r="F1340" s="19" t="str">
        <f aca="false">IF($A1340="","",IF(ISNA(MATCH($H1340,Buffers!$AE:$AE,0)),"Not on Buffers",IF(NOT(ISNUMBER($B1340)),"Needs a date",IF(INT($B1340)&lt;PlanDate,"Past due",IF(INT($B1340)=PlanDate,"Due today",IF(AND(INDEX(Buffers!$L:$L,MATCH($H1340,Buffers!$AE:$AE,0))="Planned",$E1340&gt;0,INT($B1340)&lt;=PlanDate+ROUNDUP(IF(ISNUMBER(SpikeHorizon),SpikeHorizon,INDEX(Buffers!$D:$D,MATCH($H1340,Buffers!$AE:$AE,0))),0),$E1340&gt;=SpikePct*INDEX(Buffers!$P:$P,MATCH($H1340,Buffers!$AE:$AE,0))),"Spike","Not qualified"))))))</f>
        <v/>
      </c>
      <c r="G1340" s="8" t="str">
        <f aca="false">IF($A1340="","",IF(OR($F1340="Past due",$F1340="Due today",$F1340="Spike"),$C1340,0))</f>
        <v/>
      </c>
      <c r="H1340" s="8" t="str">
        <f aca="false">IF($A1340="","",SUBSTITUTE(SUBSTITUTE(SUBSTITUTE($A1340&amp;"","~","~~"),"*","~*"),"?","~?"))</f>
        <v/>
      </c>
    </row>
    <row r="1341" customFormat="false" ht="15" hidden="false" customHeight="false" outlineLevel="0" collapsed="false">
      <c r="A1341" s="11"/>
      <c r="B1341" s="6"/>
      <c r="C1341" s="11"/>
      <c r="D1341" s="11"/>
      <c r="E1341" s="8" t="str">
        <f aca="false">IF($A1341="","",SUMIFS($C:$C,$A:$A,$H1341,$B:$B,"&gt;="&amp;INT($B1341),$B:$B,"&lt;"&amp;(INT($B1341)+1)))</f>
        <v/>
      </c>
      <c r="F1341" s="19" t="str">
        <f aca="false">IF($A1341="","",IF(ISNA(MATCH($H1341,Buffers!$AE:$AE,0)),"Not on Buffers",IF(NOT(ISNUMBER($B1341)),"Needs a date",IF(INT($B1341)&lt;PlanDate,"Past due",IF(INT($B1341)=PlanDate,"Due today",IF(AND(INDEX(Buffers!$L:$L,MATCH($H1341,Buffers!$AE:$AE,0))="Planned",$E1341&gt;0,INT($B1341)&lt;=PlanDate+ROUNDUP(IF(ISNUMBER(SpikeHorizon),SpikeHorizon,INDEX(Buffers!$D:$D,MATCH($H1341,Buffers!$AE:$AE,0))),0),$E1341&gt;=SpikePct*INDEX(Buffers!$P:$P,MATCH($H1341,Buffers!$AE:$AE,0))),"Spike","Not qualified"))))))</f>
        <v/>
      </c>
      <c r="G1341" s="8" t="str">
        <f aca="false">IF($A1341="","",IF(OR($F1341="Past due",$F1341="Due today",$F1341="Spike"),$C1341,0))</f>
        <v/>
      </c>
      <c r="H1341" s="8" t="str">
        <f aca="false">IF($A1341="","",SUBSTITUTE(SUBSTITUTE(SUBSTITUTE($A1341&amp;"","~","~~"),"*","~*"),"?","~?"))</f>
        <v/>
      </c>
    </row>
    <row r="1342" customFormat="false" ht="15" hidden="false" customHeight="false" outlineLevel="0" collapsed="false">
      <c r="A1342" s="11"/>
      <c r="B1342" s="6"/>
      <c r="C1342" s="11"/>
      <c r="D1342" s="11"/>
      <c r="E1342" s="8" t="str">
        <f aca="false">IF($A1342="","",SUMIFS($C:$C,$A:$A,$H1342,$B:$B,"&gt;="&amp;INT($B1342),$B:$B,"&lt;"&amp;(INT($B1342)+1)))</f>
        <v/>
      </c>
      <c r="F1342" s="19" t="str">
        <f aca="false">IF($A1342="","",IF(ISNA(MATCH($H1342,Buffers!$AE:$AE,0)),"Not on Buffers",IF(NOT(ISNUMBER($B1342)),"Needs a date",IF(INT($B1342)&lt;PlanDate,"Past due",IF(INT($B1342)=PlanDate,"Due today",IF(AND(INDEX(Buffers!$L:$L,MATCH($H1342,Buffers!$AE:$AE,0))="Planned",$E1342&gt;0,INT($B1342)&lt;=PlanDate+ROUNDUP(IF(ISNUMBER(SpikeHorizon),SpikeHorizon,INDEX(Buffers!$D:$D,MATCH($H1342,Buffers!$AE:$AE,0))),0),$E1342&gt;=SpikePct*INDEX(Buffers!$P:$P,MATCH($H1342,Buffers!$AE:$AE,0))),"Spike","Not qualified"))))))</f>
        <v/>
      </c>
      <c r="G1342" s="8" t="str">
        <f aca="false">IF($A1342="","",IF(OR($F1342="Past due",$F1342="Due today",$F1342="Spike"),$C1342,0))</f>
        <v/>
      </c>
      <c r="H1342" s="8" t="str">
        <f aca="false">IF($A1342="","",SUBSTITUTE(SUBSTITUTE(SUBSTITUTE($A1342&amp;"","~","~~"),"*","~*"),"?","~?"))</f>
        <v/>
      </c>
    </row>
    <row r="1343" customFormat="false" ht="15" hidden="false" customHeight="false" outlineLevel="0" collapsed="false">
      <c r="A1343" s="11"/>
      <c r="B1343" s="6"/>
      <c r="C1343" s="11"/>
      <c r="D1343" s="11"/>
      <c r="E1343" s="8" t="str">
        <f aca="false">IF($A1343="","",SUMIFS($C:$C,$A:$A,$H1343,$B:$B,"&gt;="&amp;INT($B1343),$B:$B,"&lt;"&amp;(INT($B1343)+1)))</f>
        <v/>
      </c>
      <c r="F1343" s="19" t="str">
        <f aca="false">IF($A1343="","",IF(ISNA(MATCH($H1343,Buffers!$AE:$AE,0)),"Not on Buffers",IF(NOT(ISNUMBER($B1343)),"Needs a date",IF(INT($B1343)&lt;PlanDate,"Past due",IF(INT($B1343)=PlanDate,"Due today",IF(AND(INDEX(Buffers!$L:$L,MATCH($H1343,Buffers!$AE:$AE,0))="Planned",$E1343&gt;0,INT($B1343)&lt;=PlanDate+ROUNDUP(IF(ISNUMBER(SpikeHorizon),SpikeHorizon,INDEX(Buffers!$D:$D,MATCH($H1343,Buffers!$AE:$AE,0))),0),$E1343&gt;=SpikePct*INDEX(Buffers!$P:$P,MATCH($H1343,Buffers!$AE:$AE,0))),"Spike","Not qualified"))))))</f>
        <v/>
      </c>
      <c r="G1343" s="8" t="str">
        <f aca="false">IF($A1343="","",IF(OR($F1343="Past due",$F1343="Due today",$F1343="Spike"),$C1343,0))</f>
        <v/>
      </c>
      <c r="H1343" s="8" t="str">
        <f aca="false">IF($A1343="","",SUBSTITUTE(SUBSTITUTE(SUBSTITUTE($A1343&amp;"","~","~~"),"*","~*"),"?","~?"))</f>
        <v/>
      </c>
    </row>
    <row r="1344" customFormat="false" ht="15" hidden="false" customHeight="false" outlineLevel="0" collapsed="false">
      <c r="A1344" s="11"/>
      <c r="B1344" s="6"/>
      <c r="C1344" s="11"/>
      <c r="D1344" s="11"/>
      <c r="E1344" s="8" t="str">
        <f aca="false">IF($A1344="","",SUMIFS($C:$C,$A:$A,$H1344,$B:$B,"&gt;="&amp;INT($B1344),$B:$B,"&lt;"&amp;(INT($B1344)+1)))</f>
        <v/>
      </c>
      <c r="F1344" s="19" t="str">
        <f aca="false">IF($A1344="","",IF(ISNA(MATCH($H1344,Buffers!$AE:$AE,0)),"Not on Buffers",IF(NOT(ISNUMBER($B1344)),"Needs a date",IF(INT($B1344)&lt;PlanDate,"Past due",IF(INT($B1344)=PlanDate,"Due today",IF(AND(INDEX(Buffers!$L:$L,MATCH($H1344,Buffers!$AE:$AE,0))="Planned",$E1344&gt;0,INT($B1344)&lt;=PlanDate+ROUNDUP(IF(ISNUMBER(SpikeHorizon),SpikeHorizon,INDEX(Buffers!$D:$D,MATCH($H1344,Buffers!$AE:$AE,0))),0),$E1344&gt;=SpikePct*INDEX(Buffers!$P:$P,MATCH($H1344,Buffers!$AE:$AE,0))),"Spike","Not qualified"))))))</f>
        <v/>
      </c>
      <c r="G1344" s="8" t="str">
        <f aca="false">IF($A1344="","",IF(OR($F1344="Past due",$F1344="Due today",$F1344="Spike"),$C1344,0))</f>
        <v/>
      </c>
      <c r="H1344" s="8" t="str">
        <f aca="false">IF($A1344="","",SUBSTITUTE(SUBSTITUTE(SUBSTITUTE($A1344&amp;"","~","~~"),"*","~*"),"?","~?"))</f>
        <v/>
      </c>
    </row>
    <row r="1345" customFormat="false" ht="15" hidden="false" customHeight="false" outlineLevel="0" collapsed="false">
      <c r="A1345" s="11"/>
      <c r="B1345" s="6"/>
      <c r="C1345" s="11"/>
      <c r="D1345" s="11"/>
      <c r="E1345" s="8" t="str">
        <f aca="false">IF($A1345="","",SUMIFS($C:$C,$A:$A,$H1345,$B:$B,"&gt;="&amp;INT($B1345),$B:$B,"&lt;"&amp;(INT($B1345)+1)))</f>
        <v/>
      </c>
      <c r="F1345" s="19" t="str">
        <f aca="false">IF($A1345="","",IF(ISNA(MATCH($H1345,Buffers!$AE:$AE,0)),"Not on Buffers",IF(NOT(ISNUMBER($B1345)),"Needs a date",IF(INT($B1345)&lt;PlanDate,"Past due",IF(INT($B1345)=PlanDate,"Due today",IF(AND(INDEX(Buffers!$L:$L,MATCH($H1345,Buffers!$AE:$AE,0))="Planned",$E1345&gt;0,INT($B1345)&lt;=PlanDate+ROUNDUP(IF(ISNUMBER(SpikeHorizon),SpikeHorizon,INDEX(Buffers!$D:$D,MATCH($H1345,Buffers!$AE:$AE,0))),0),$E1345&gt;=SpikePct*INDEX(Buffers!$P:$P,MATCH($H1345,Buffers!$AE:$AE,0))),"Spike","Not qualified"))))))</f>
        <v/>
      </c>
      <c r="G1345" s="8" t="str">
        <f aca="false">IF($A1345="","",IF(OR($F1345="Past due",$F1345="Due today",$F1345="Spike"),$C1345,0))</f>
        <v/>
      </c>
      <c r="H1345" s="8" t="str">
        <f aca="false">IF($A1345="","",SUBSTITUTE(SUBSTITUTE(SUBSTITUTE($A1345&amp;"","~","~~"),"*","~*"),"?","~?"))</f>
        <v/>
      </c>
    </row>
    <row r="1346" customFormat="false" ht="15" hidden="false" customHeight="false" outlineLevel="0" collapsed="false">
      <c r="A1346" s="11"/>
      <c r="B1346" s="6"/>
      <c r="C1346" s="11"/>
      <c r="D1346" s="11"/>
      <c r="E1346" s="8" t="str">
        <f aca="false">IF($A1346="","",SUMIFS($C:$C,$A:$A,$H1346,$B:$B,"&gt;="&amp;INT($B1346),$B:$B,"&lt;"&amp;(INT($B1346)+1)))</f>
        <v/>
      </c>
      <c r="F1346" s="19" t="str">
        <f aca="false">IF($A1346="","",IF(ISNA(MATCH($H1346,Buffers!$AE:$AE,0)),"Not on Buffers",IF(NOT(ISNUMBER($B1346)),"Needs a date",IF(INT($B1346)&lt;PlanDate,"Past due",IF(INT($B1346)=PlanDate,"Due today",IF(AND(INDEX(Buffers!$L:$L,MATCH($H1346,Buffers!$AE:$AE,0))="Planned",$E1346&gt;0,INT($B1346)&lt;=PlanDate+ROUNDUP(IF(ISNUMBER(SpikeHorizon),SpikeHorizon,INDEX(Buffers!$D:$D,MATCH($H1346,Buffers!$AE:$AE,0))),0),$E1346&gt;=SpikePct*INDEX(Buffers!$P:$P,MATCH($H1346,Buffers!$AE:$AE,0))),"Spike","Not qualified"))))))</f>
        <v/>
      </c>
      <c r="G1346" s="8" t="str">
        <f aca="false">IF($A1346="","",IF(OR($F1346="Past due",$F1346="Due today",$F1346="Spike"),$C1346,0))</f>
        <v/>
      </c>
      <c r="H1346" s="8" t="str">
        <f aca="false">IF($A1346="","",SUBSTITUTE(SUBSTITUTE(SUBSTITUTE($A1346&amp;"","~","~~"),"*","~*"),"?","~?"))</f>
        <v/>
      </c>
    </row>
    <row r="1347" customFormat="false" ht="15" hidden="false" customHeight="false" outlineLevel="0" collapsed="false">
      <c r="A1347" s="11"/>
      <c r="B1347" s="6"/>
      <c r="C1347" s="11"/>
      <c r="D1347" s="11"/>
      <c r="E1347" s="8" t="str">
        <f aca="false">IF($A1347="","",SUMIFS($C:$C,$A:$A,$H1347,$B:$B,"&gt;="&amp;INT($B1347),$B:$B,"&lt;"&amp;(INT($B1347)+1)))</f>
        <v/>
      </c>
      <c r="F1347" s="19" t="str">
        <f aca="false">IF($A1347="","",IF(ISNA(MATCH($H1347,Buffers!$AE:$AE,0)),"Not on Buffers",IF(NOT(ISNUMBER($B1347)),"Needs a date",IF(INT($B1347)&lt;PlanDate,"Past due",IF(INT($B1347)=PlanDate,"Due today",IF(AND(INDEX(Buffers!$L:$L,MATCH($H1347,Buffers!$AE:$AE,0))="Planned",$E1347&gt;0,INT($B1347)&lt;=PlanDate+ROUNDUP(IF(ISNUMBER(SpikeHorizon),SpikeHorizon,INDEX(Buffers!$D:$D,MATCH($H1347,Buffers!$AE:$AE,0))),0),$E1347&gt;=SpikePct*INDEX(Buffers!$P:$P,MATCH($H1347,Buffers!$AE:$AE,0))),"Spike","Not qualified"))))))</f>
        <v/>
      </c>
      <c r="G1347" s="8" t="str">
        <f aca="false">IF($A1347="","",IF(OR($F1347="Past due",$F1347="Due today",$F1347="Spike"),$C1347,0))</f>
        <v/>
      </c>
      <c r="H1347" s="8" t="str">
        <f aca="false">IF($A1347="","",SUBSTITUTE(SUBSTITUTE(SUBSTITUTE($A1347&amp;"","~","~~"),"*","~*"),"?","~?"))</f>
        <v/>
      </c>
    </row>
    <row r="1348" customFormat="false" ht="15" hidden="false" customHeight="false" outlineLevel="0" collapsed="false">
      <c r="A1348" s="11"/>
      <c r="B1348" s="6"/>
      <c r="C1348" s="11"/>
      <c r="D1348" s="11"/>
      <c r="E1348" s="8" t="str">
        <f aca="false">IF($A1348="","",SUMIFS($C:$C,$A:$A,$H1348,$B:$B,"&gt;="&amp;INT($B1348),$B:$B,"&lt;"&amp;(INT($B1348)+1)))</f>
        <v/>
      </c>
      <c r="F1348" s="19" t="str">
        <f aca="false">IF($A1348="","",IF(ISNA(MATCH($H1348,Buffers!$AE:$AE,0)),"Not on Buffers",IF(NOT(ISNUMBER($B1348)),"Needs a date",IF(INT($B1348)&lt;PlanDate,"Past due",IF(INT($B1348)=PlanDate,"Due today",IF(AND(INDEX(Buffers!$L:$L,MATCH($H1348,Buffers!$AE:$AE,0))="Planned",$E1348&gt;0,INT($B1348)&lt;=PlanDate+ROUNDUP(IF(ISNUMBER(SpikeHorizon),SpikeHorizon,INDEX(Buffers!$D:$D,MATCH($H1348,Buffers!$AE:$AE,0))),0),$E1348&gt;=SpikePct*INDEX(Buffers!$P:$P,MATCH($H1348,Buffers!$AE:$AE,0))),"Spike","Not qualified"))))))</f>
        <v/>
      </c>
      <c r="G1348" s="8" t="str">
        <f aca="false">IF($A1348="","",IF(OR($F1348="Past due",$F1348="Due today",$F1348="Spike"),$C1348,0))</f>
        <v/>
      </c>
      <c r="H1348" s="8" t="str">
        <f aca="false">IF($A1348="","",SUBSTITUTE(SUBSTITUTE(SUBSTITUTE($A1348&amp;"","~","~~"),"*","~*"),"?","~?"))</f>
        <v/>
      </c>
    </row>
    <row r="1349" customFormat="false" ht="15" hidden="false" customHeight="false" outlineLevel="0" collapsed="false">
      <c r="A1349" s="11"/>
      <c r="B1349" s="6"/>
      <c r="C1349" s="11"/>
      <c r="D1349" s="11"/>
      <c r="E1349" s="8" t="str">
        <f aca="false">IF($A1349="","",SUMIFS($C:$C,$A:$A,$H1349,$B:$B,"&gt;="&amp;INT($B1349),$B:$B,"&lt;"&amp;(INT($B1349)+1)))</f>
        <v/>
      </c>
      <c r="F1349" s="19" t="str">
        <f aca="false">IF($A1349="","",IF(ISNA(MATCH($H1349,Buffers!$AE:$AE,0)),"Not on Buffers",IF(NOT(ISNUMBER($B1349)),"Needs a date",IF(INT($B1349)&lt;PlanDate,"Past due",IF(INT($B1349)=PlanDate,"Due today",IF(AND(INDEX(Buffers!$L:$L,MATCH($H1349,Buffers!$AE:$AE,0))="Planned",$E1349&gt;0,INT($B1349)&lt;=PlanDate+ROUNDUP(IF(ISNUMBER(SpikeHorizon),SpikeHorizon,INDEX(Buffers!$D:$D,MATCH($H1349,Buffers!$AE:$AE,0))),0),$E1349&gt;=SpikePct*INDEX(Buffers!$P:$P,MATCH($H1349,Buffers!$AE:$AE,0))),"Spike","Not qualified"))))))</f>
        <v/>
      </c>
      <c r="G1349" s="8" t="str">
        <f aca="false">IF($A1349="","",IF(OR($F1349="Past due",$F1349="Due today",$F1349="Spike"),$C1349,0))</f>
        <v/>
      </c>
      <c r="H1349" s="8" t="str">
        <f aca="false">IF($A1349="","",SUBSTITUTE(SUBSTITUTE(SUBSTITUTE($A1349&amp;"","~","~~"),"*","~*"),"?","~?"))</f>
        <v/>
      </c>
    </row>
    <row r="1350" customFormat="false" ht="15" hidden="false" customHeight="false" outlineLevel="0" collapsed="false">
      <c r="A1350" s="11"/>
      <c r="B1350" s="6"/>
      <c r="C1350" s="11"/>
      <c r="D1350" s="11"/>
      <c r="E1350" s="8" t="str">
        <f aca="false">IF($A1350="","",SUMIFS($C:$C,$A:$A,$H1350,$B:$B,"&gt;="&amp;INT($B1350),$B:$B,"&lt;"&amp;(INT($B1350)+1)))</f>
        <v/>
      </c>
      <c r="F1350" s="19" t="str">
        <f aca="false">IF($A1350="","",IF(ISNA(MATCH($H1350,Buffers!$AE:$AE,0)),"Not on Buffers",IF(NOT(ISNUMBER($B1350)),"Needs a date",IF(INT($B1350)&lt;PlanDate,"Past due",IF(INT($B1350)=PlanDate,"Due today",IF(AND(INDEX(Buffers!$L:$L,MATCH($H1350,Buffers!$AE:$AE,0))="Planned",$E1350&gt;0,INT($B1350)&lt;=PlanDate+ROUNDUP(IF(ISNUMBER(SpikeHorizon),SpikeHorizon,INDEX(Buffers!$D:$D,MATCH($H1350,Buffers!$AE:$AE,0))),0),$E1350&gt;=SpikePct*INDEX(Buffers!$P:$P,MATCH($H1350,Buffers!$AE:$AE,0))),"Spike","Not qualified"))))))</f>
        <v/>
      </c>
      <c r="G1350" s="8" t="str">
        <f aca="false">IF($A1350="","",IF(OR($F1350="Past due",$F1350="Due today",$F1350="Spike"),$C1350,0))</f>
        <v/>
      </c>
      <c r="H1350" s="8" t="str">
        <f aca="false">IF($A1350="","",SUBSTITUTE(SUBSTITUTE(SUBSTITUTE($A1350&amp;"","~","~~"),"*","~*"),"?","~?"))</f>
        <v/>
      </c>
    </row>
    <row r="1351" customFormat="false" ht="15" hidden="false" customHeight="false" outlineLevel="0" collapsed="false">
      <c r="A1351" s="11"/>
      <c r="B1351" s="6"/>
      <c r="C1351" s="11"/>
      <c r="D1351" s="11"/>
      <c r="E1351" s="8" t="str">
        <f aca="false">IF($A1351="","",SUMIFS($C:$C,$A:$A,$H1351,$B:$B,"&gt;="&amp;INT($B1351),$B:$B,"&lt;"&amp;(INT($B1351)+1)))</f>
        <v/>
      </c>
      <c r="F1351" s="19" t="str">
        <f aca="false">IF($A1351="","",IF(ISNA(MATCH($H1351,Buffers!$AE:$AE,0)),"Not on Buffers",IF(NOT(ISNUMBER($B1351)),"Needs a date",IF(INT($B1351)&lt;PlanDate,"Past due",IF(INT($B1351)=PlanDate,"Due today",IF(AND(INDEX(Buffers!$L:$L,MATCH($H1351,Buffers!$AE:$AE,0))="Planned",$E1351&gt;0,INT($B1351)&lt;=PlanDate+ROUNDUP(IF(ISNUMBER(SpikeHorizon),SpikeHorizon,INDEX(Buffers!$D:$D,MATCH($H1351,Buffers!$AE:$AE,0))),0),$E1351&gt;=SpikePct*INDEX(Buffers!$P:$P,MATCH($H1351,Buffers!$AE:$AE,0))),"Spike","Not qualified"))))))</f>
        <v/>
      </c>
      <c r="G1351" s="8" t="str">
        <f aca="false">IF($A1351="","",IF(OR($F1351="Past due",$F1351="Due today",$F1351="Spike"),$C1351,0))</f>
        <v/>
      </c>
      <c r="H1351" s="8" t="str">
        <f aca="false">IF($A1351="","",SUBSTITUTE(SUBSTITUTE(SUBSTITUTE($A1351&amp;"","~","~~"),"*","~*"),"?","~?"))</f>
        <v/>
      </c>
    </row>
    <row r="1352" customFormat="false" ht="15" hidden="false" customHeight="false" outlineLevel="0" collapsed="false">
      <c r="A1352" s="11"/>
      <c r="B1352" s="6"/>
      <c r="C1352" s="11"/>
      <c r="D1352" s="11"/>
      <c r="E1352" s="8" t="str">
        <f aca="false">IF($A1352="","",SUMIFS($C:$C,$A:$A,$H1352,$B:$B,"&gt;="&amp;INT($B1352),$B:$B,"&lt;"&amp;(INT($B1352)+1)))</f>
        <v/>
      </c>
      <c r="F1352" s="19" t="str">
        <f aca="false">IF($A1352="","",IF(ISNA(MATCH($H1352,Buffers!$AE:$AE,0)),"Not on Buffers",IF(NOT(ISNUMBER($B1352)),"Needs a date",IF(INT($B1352)&lt;PlanDate,"Past due",IF(INT($B1352)=PlanDate,"Due today",IF(AND(INDEX(Buffers!$L:$L,MATCH($H1352,Buffers!$AE:$AE,0))="Planned",$E1352&gt;0,INT($B1352)&lt;=PlanDate+ROUNDUP(IF(ISNUMBER(SpikeHorizon),SpikeHorizon,INDEX(Buffers!$D:$D,MATCH($H1352,Buffers!$AE:$AE,0))),0),$E1352&gt;=SpikePct*INDEX(Buffers!$P:$P,MATCH($H1352,Buffers!$AE:$AE,0))),"Spike","Not qualified"))))))</f>
        <v/>
      </c>
      <c r="G1352" s="8" t="str">
        <f aca="false">IF($A1352="","",IF(OR($F1352="Past due",$F1352="Due today",$F1352="Spike"),$C1352,0))</f>
        <v/>
      </c>
      <c r="H1352" s="8" t="str">
        <f aca="false">IF($A1352="","",SUBSTITUTE(SUBSTITUTE(SUBSTITUTE($A1352&amp;"","~","~~"),"*","~*"),"?","~?"))</f>
        <v/>
      </c>
    </row>
    <row r="1353" customFormat="false" ht="15" hidden="false" customHeight="false" outlineLevel="0" collapsed="false">
      <c r="A1353" s="11"/>
      <c r="B1353" s="6"/>
      <c r="C1353" s="11"/>
      <c r="D1353" s="11"/>
      <c r="E1353" s="8" t="str">
        <f aca="false">IF($A1353="","",SUMIFS($C:$C,$A:$A,$H1353,$B:$B,"&gt;="&amp;INT($B1353),$B:$B,"&lt;"&amp;(INT($B1353)+1)))</f>
        <v/>
      </c>
      <c r="F1353" s="19" t="str">
        <f aca="false">IF($A1353="","",IF(ISNA(MATCH($H1353,Buffers!$AE:$AE,0)),"Not on Buffers",IF(NOT(ISNUMBER($B1353)),"Needs a date",IF(INT($B1353)&lt;PlanDate,"Past due",IF(INT($B1353)=PlanDate,"Due today",IF(AND(INDEX(Buffers!$L:$L,MATCH($H1353,Buffers!$AE:$AE,0))="Planned",$E1353&gt;0,INT($B1353)&lt;=PlanDate+ROUNDUP(IF(ISNUMBER(SpikeHorizon),SpikeHorizon,INDEX(Buffers!$D:$D,MATCH($H1353,Buffers!$AE:$AE,0))),0),$E1353&gt;=SpikePct*INDEX(Buffers!$P:$P,MATCH($H1353,Buffers!$AE:$AE,0))),"Spike","Not qualified"))))))</f>
        <v/>
      </c>
      <c r="G1353" s="8" t="str">
        <f aca="false">IF($A1353="","",IF(OR($F1353="Past due",$F1353="Due today",$F1353="Spike"),$C1353,0))</f>
        <v/>
      </c>
      <c r="H1353" s="8" t="str">
        <f aca="false">IF($A1353="","",SUBSTITUTE(SUBSTITUTE(SUBSTITUTE($A1353&amp;"","~","~~"),"*","~*"),"?","~?"))</f>
        <v/>
      </c>
    </row>
    <row r="1354" customFormat="false" ht="15" hidden="false" customHeight="false" outlineLevel="0" collapsed="false">
      <c r="A1354" s="11"/>
      <c r="B1354" s="6"/>
      <c r="C1354" s="11"/>
      <c r="D1354" s="11"/>
      <c r="E1354" s="8" t="str">
        <f aca="false">IF($A1354="","",SUMIFS($C:$C,$A:$A,$H1354,$B:$B,"&gt;="&amp;INT($B1354),$B:$B,"&lt;"&amp;(INT($B1354)+1)))</f>
        <v/>
      </c>
      <c r="F1354" s="19" t="str">
        <f aca="false">IF($A1354="","",IF(ISNA(MATCH($H1354,Buffers!$AE:$AE,0)),"Not on Buffers",IF(NOT(ISNUMBER($B1354)),"Needs a date",IF(INT($B1354)&lt;PlanDate,"Past due",IF(INT($B1354)=PlanDate,"Due today",IF(AND(INDEX(Buffers!$L:$L,MATCH($H1354,Buffers!$AE:$AE,0))="Planned",$E1354&gt;0,INT($B1354)&lt;=PlanDate+ROUNDUP(IF(ISNUMBER(SpikeHorizon),SpikeHorizon,INDEX(Buffers!$D:$D,MATCH($H1354,Buffers!$AE:$AE,0))),0),$E1354&gt;=SpikePct*INDEX(Buffers!$P:$P,MATCH($H1354,Buffers!$AE:$AE,0))),"Spike","Not qualified"))))))</f>
        <v/>
      </c>
      <c r="G1354" s="8" t="str">
        <f aca="false">IF($A1354="","",IF(OR($F1354="Past due",$F1354="Due today",$F1354="Spike"),$C1354,0))</f>
        <v/>
      </c>
      <c r="H1354" s="8" t="str">
        <f aca="false">IF($A1354="","",SUBSTITUTE(SUBSTITUTE(SUBSTITUTE($A1354&amp;"","~","~~"),"*","~*"),"?","~?"))</f>
        <v/>
      </c>
    </row>
    <row r="1355" customFormat="false" ht="15" hidden="false" customHeight="false" outlineLevel="0" collapsed="false">
      <c r="A1355" s="11"/>
      <c r="B1355" s="6"/>
      <c r="C1355" s="11"/>
      <c r="D1355" s="11"/>
      <c r="E1355" s="8" t="str">
        <f aca="false">IF($A1355="","",SUMIFS($C:$C,$A:$A,$H1355,$B:$B,"&gt;="&amp;INT($B1355),$B:$B,"&lt;"&amp;(INT($B1355)+1)))</f>
        <v/>
      </c>
      <c r="F1355" s="19" t="str">
        <f aca="false">IF($A1355="","",IF(ISNA(MATCH($H1355,Buffers!$AE:$AE,0)),"Not on Buffers",IF(NOT(ISNUMBER($B1355)),"Needs a date",IF(INT($B1355)&lt;PlanDate,"Past due",IF(INT($B1355)=PlanDate,"Due today",IF(AND(INDEX(Buffers!$L:$L,MATCH($H1355,Buffers!$AE:$AE,0))="Planned",$E1355&gt;0,INT($B1355)&lt;=PlanDate+ROUNDUP(IF(ISNUMBER(SpikeHorizon),SpikeHorizon,INDEX(Buffers!$D:$D,MATCH($H1355,Buffers!$AE:$AE,0))),0),$E1355&gt;=SpikePct*INDEX(Buffers!$P:$P,MATCH($H1355,Buffers!$AE:$AE,0))),"Spike","Not qualified"))))))</f>
        <v/>
      </c>
      <c r="G1355" s="8" t="str">
        <f aca="false">IF($A1355="","",IF(OR($F1355="Past due",$F1355="Due today",$F1355="Spike"),$C1355,0))</f>
        <v/>
      </c>
      <c r="H1355" s="8" t="str">
        <f aca="false">IF($A1355="","",SUBSTITUTE(SUBSTITUTE(SUBSTITUTE($A1355&amp;"","~","~~"),"*","~*"),"?","~?"))</f>
        <v/>
      </c>
    </row>
    <row r="1356" customFormat="false" ht="15" hidden="false" customHeight="false" outlineLevel="0" collapsed="false">
      <c r="A1356" s="11"/>
      <c r="B1356" s="6"/>
      <c r="C1356" s="11"/>
      <c r="D1356" s="11"/>
      <c r="E1356" s="8" t="str">
        <f aca="false">IF($A1356="","",SUMIFS($C:$C,$A:$A,$H1356,$B:$B,"&gt;="&amp;INT($B1356),$B:$B,"&lt;"&amp;(INT($B1356)+1)))</f>
        <v/>
      </c>
      <c r="F1356" s="19" t="str">
        <f aca="false">IF($A1356="","",IF(ISNA(MATCH($H1356,Buffers!$AE:$AE,0)),"Not on Buffers",IF(NOT(ISNUMBER($B1356)),"Needs a date",IF(INT($B1356)&lt;PlanDate,"Past due",IF(INT($B1356)=PlanDate,"Due today",IF(AND(INDEX(Buffers!$L:$L,MATCH($H1356,Buffers!$AE:$AE,0))="Planned",$E1356&gt;0,INT($B1356)&lt;=PlanDate+ROUNDUP(IF(ISNUMBER(SpikeHorizon),SpikeHorizon,INDEX(Buffers!$D:$D,MATCH($H1356,Buffers!$AE:$AE,0))),0),$E1356&gt;=SpikePct*INDEX(Buffers!$P:$P,MATCH($H1356,Buffers!$AE:$AE,0))),"Spike","Not qualified"))))))</f>
        <v/>
      </c>
      <c r="G1356" s="8" t="str">
        <f aca="false">IF($A1356="","",IF(OR($F1356="Past due",$F1356="Due today",$F1356="Spike"),$C1356,0))</f>
        <v/>
      </c>
      <c r="H1356" s="8" t="str">
        <f aca="false">IF($A1356="","",SUBSTITUTE(SUBSTITUTE(SUBSTITUTE($A1356&amp;"","~","~~"),"*","~*"),"?","~?"))</f>
        <v/>
      </c>
    </row>
    <row r="1357" customFormat="false" ht="15" hidden="false" customHeight="false" outlineLevel="0" collapsed="false">
      <c r="A1357" s="11"/>
      <c r="B1357" s="6"/>
      <c r="C1357" s="11"/>
      <c r="D1357" s="11"/>
      <c r="E1357" s="8" t="str">
        <f aca="false">IF($A1357="","",SUMIFS($C:$C,$A:$A,$H1357,$B:$B,"&gt;="&amp;INT($B1357),$B:$B,"&lt;"&amp;(INT($B1357)+1)))</f>
        <v/>
      </c>
      <c r="F1357" s="19" t="str">
        <f aca="false">IF($A1357="","",IF(ISNA(MATCH($H1357,Buffers!$AE:$AE,0)),"Not on Buffers",IF(NOT(ISNUMBER($B1357)),"Needs a date",IF(INT($B1357)&lt;PlanDate,"Past due",IF(INT($B1357)=PlanDate,"Due today",IF(AND(INDEX(Buffers!$L:$L,MATCH($H1357,Buffers!$AE:$AE,0))="Planned",$E1357&gt;0,INT($B1357)&lt;=PlanDate+ROUNDUP(IF(ISNUMBER(SpikeHorizon),SpikeHorizon,INDEX(Buffers!$D:$D,MATCH($H1357,Buffers!$AE:$AE,0))),0),$E1357&gt;=SpikePct*INDEX(Buffers!$P:$P,MATCH($H1357,Buffers!$AE:$AE,0))),"Spike","Not qualified"))))))</f>
        <v/>
      </c>
      <c r="G1357" s="8" t="str">
        <f aca="false">IF($A1357="","",IF(OR($F1357="Past due",$F1357="Due today",$F1357="Spike"),$C1357,0))</f>
        <v/>
      </c>
      <c r="H1357" s="8" t="str">
        <f aca="false">IF($A1357="","",SUBSTITUTE(SUBSTITUTE(SUBSTITUTE($A1357&amp;"","~","~~"),"*","~*"),"?","~?"))</f>
        <v/>
      </c>
    </row>
    <row r="1358" customFormat="false" ht="15" hidden="false" customHeight="false" outlineLevel="0" collapsed="false">
      <c r="A1358" s="11"/>
      <c r="B1358" s="6"/>
      <c r="C1358" s="11"/>
      <c r="D1358" s="11"/>
      <c r="E1358" s="8" t="str">
        <f aca="false">IF($A1358="","",SUMIFS($C:$C,$A:$A,$H1358,$B:$B,"&gt;="&amp;INT($B1358),$B:$B,"&lt;"&amp;(INT($B1358)+1)))</f>
        <v/>
      </c>
      <c r="F1358" s="19" t="str">
        <f aca="false">IF($A1358="","",IF(ISNA(MATCH($H1358,Buffers!$AE:$AE,0)),"Not on Buffers",IF(NOT(ISNUMBER($B1358)),"Needs a date",IF(INT($B1358)&lt;PlanDate,"Past due",IF(INT($B1358)=PlanDate,"Due today",IF(AND(INDEX(Buffers!$L:$L,MATCH($H1358,Buffers!$AE:$AE,0))="Planned",$E1358&gt;0,INT($B1358)&lt;=PlanDate+ROUNDUP(IF(ISNUMBER(SpikeHorizon),SpikeHorizon,INDEX(Buffers!$D:$D,MATCH($H1358,Buffers!$AE:$AE,0))),0),$E1358&gt;=SpikePct*INDEX(Buffers!$P:$P,MATCH($H1358,Buffers!$AE:$AE,0))),"Spike","Not qualified"))))))</f>
        <v/>
      </c>
      <c r="G1358" s="8" t="str">
        <f aca="false">IF($A1358="","",IF(OR($F1358="Past due",$F1358="Due today",$F1358="Spike"),$C1358,0))</f>
        <v/>
      </c>
      <c r="H1358" s="8" t="str">
        <f aca="false">IF($A1358="","",SUBSTITUTE(SUBSTITUTE(SUBSTITUTE($A1358&amp;"","~","~~"),"*","~*"),"?","~?"))</f>
        <v/>
      </c>
    </row>
    <row r="1359" customFormat="false" ht="15" hidden="false" customHeight="false" outlineLevel="0" collapsed="false">
      <c r="A1359" s="11"/>
      <c r="B1359" s="6"/>
      <c r="C1359" s="11"/>
      <c r="D1359" s="11"/>
      <c r="E1359" s="8" t="str">
        <f aca="false">IF($A1359="","",SUMIFS($C:$C,$A:$A,$H1359,$B:$B,"&gt;="&amp;INT($B1359),$B:$B,"&lt;"&amp;(INT($B1359)+1)))</f>
        <v/>
      </c>
      <c r="F1359" s="19" t="str">
        <f aca="false">IF($A1359="","",IF(ISNA(MATCH($H1359,Buffers!$AE:$AE,0)),"Not on Buffers",IF(NOT(ISNUMBER($B1359)),"Needs a date",IF(INT($B1359)&lt;PlanDate,"Past due",IF(INT($B1359)=PlanDate,"Due today",IF(AND(INDEX(Buffers!$L:$L,MATCH($H1359,Buffers!$AE:$AE,0))="Planned",$E1359&gt;0,INT($B1359)&lt;=PlanDate+ROUNDUP(IF(ISNUMBER(SpikeHorizon),SpikeHorizon,INDEX(Buffers!$D:$D,MATCH($H1359,Buffers!$AE:$AE,0))),0),$E1359&gt;=SpikePct*INDEX(Buffers!$P:$P,MATCH($H1359,Buffers!$AE:$AE,0))),"Spike","Not qualified"))))))</f>
        <v/>
      </c>
      <c r="G1359" s="8" t="str">
        <f aca="false">IF($A1359="","",IF(OR($F1359="Past due",$F1359="Due today",$F1359="Spike"),$C1359,0))</f>
        <v/>
      </c>
      <c r="H1359" s="8" t="str">
        <f aca="false">IF($A1359="","",SUBSTITUTE(SUBSTITUTE(SUBSTITUTE($A1359&amp;"","~","~~"),"*","~*"),"?","~?"))</f>
        <v/>
      </c>
    </row>
    <row r="1360" customFormat="false" ht="15" hidden="false" customHeight="false" outlineLevel="0" collapsed="false">
      <c r="A1360" s="11"/>
      <c r="B1360" s="6"/>
      <c r="C1360" s="11"/>
      <c r="D1360" s="11"/>
      <c r="E1360" s="8" t="str">
        <f aca="false">IF($A1360="","",SUMIFS($C:$C,$A:$A,$H1360,$B:$B,"&gt;="&amp;INT($B1360),$B:$B,"&lt;"&amp;(INT($B1360)+1)))</f>
        <v/>
      </c>
      <c r="F1360" s="19" t="str">
        <f aca="false">IF($A1360="","",IF(ISNA(MATCH($H1360,Buffers!$AE:$AE,0)),"Not on Buffers",IF(NOT(ISNUMBER($B1360)),"Needs a date",IF(INT($B1360)&lt;PlanDate,"Past due",IF(INT($B1360)=PlanDate,"Due today",IF(AND(INDEX(Buffers!$L:$L,MATCH($H1360,Buffers!$AE:$AE,0))="Planned",$E1360&gt;0,INT($B1360)&lt;=PlanDate+ROUNDUP(IF(ISNUMBER(SpikeHorizon),SpikeHorizon,INDEX(Buffers!$D:$D,MATCH($H1360,Buffers!$AE:$AE,0))),0),$E1360&gt;=SpikePct*INDEX(Buffers!$P:$P,MATCH($H1360,Buffers!$AE:$AE,0))),"Spike","Not qualified"))))))</f>
        <v/>
      </c>
      <c r="G1360" s="8" t="str">
        <f aca="false">IF($A1360="","",IF(OR($F1360="Past due",$F1360="Due today",$F1360="Spike"),$C1360,0))</f>
        <v/>
      </c>
      <c r="H1360" s="8" t="str">
        <f aca="false">IF($A1360="","",SUBSTITUTE(SUBSTITUTE(SUBSTITUTE($A1360&amp;"","~","~~"),"*","~*"),"?","~?"))</f>
        <v/>
      </c>
    </row>
    <row r="1361" customFormat="false" ht="15" hidden="false" customHeight="false" outlineLevel="0" collapsed="false">
      <c r="A1361" s="11"/>
      <c r="B1361" s="6"/>
      <c r="C1361" s="11"/>
      <c r="D1361" s="11"/>
      <c r="E1361" s="8" t="str">
        <f aca="false">IF($A1361="","",SUMIFS($C:$C,$A:$A,$H1361,$B:$B,"&gt;="&amp;INT($B1361),$B:$B,"&lt;"&amp;(INT($B1361)+1)))</f>
        <v/>
      </c>
      <c r="F1361" s="19" t="str">
        <f aca="false">IF($A1361="","",IF(ISNA(MATCH($H1361,Buffers!$AE:$AE,0)),"Not on Buffers",IF(NOT(ISNUMBER($B1361)),"Needs a date",IF(INT($B1361)&lt;PlanDate,"Past due",IF(INT($B1361)=PlanDate,"Due today",IF(AND(INDEX(Buffers!$L:$L,MATCH($H1361,Buffers!$AE:$AE,0))="Planned",$E1361&gt;0,INT($B1361)&lt;=PlanDate+ROUNDUP(IF(ISNUMBER(SpikeHorizon),SpikeHorizon,INDEX(Buffers!$D:$D,MATCH($H1361,Buffers!$AE:$AE,0))),0),$E1361&gt;=SpikePct*INDEX(Buffers!$P:$P,MATCH($H1361,Buffers!$AE:$AE,0))),"Spike","Not qualified"))))))</f>
        <v/>
      </c>
      <c r="G1361" s="8" t="str">
        <f aca="false">IF($A1361="","",IF(OR($F1361="Past due",$F1361="Due today",$F1361="Spike"),$C1361,0))</f>
        <v/>
      </c>
      <c r="H1361" s="8" t="str">
        <f aca="false">IF($A1361="","",SUBSTITUTE(SUBSTITUTE(SUBSTITUTE($A1361&amp;"","~","~~"),"*","~*"),"?","~?"))</f>
        <v/>
      </c>
    </row>
    <row r="1362" customFormat="false" ht="15" hidden="false" customHeight="false" outlineLevel="0" collapsed="false">
      <c r="A1362" s="11"/>
      <c r="B1362" s="6"/>
      <c r="C1362" s="11"/>
      <c r="D1362" s="11"/>
      <c r="E1362" s="8" t="str">
        <f aca="false">IF($A1362="","",SUMIFS($C:$C,$A:$A,$H1362,$B:$B,"&gt;="&amp;INT($B1362),$B:$B,"&lt;"&amp;(INT($B1362)+1)))</f>
        <v/>
      </c>
      <c r="F1362" s="19" t="str">
        <f aca="false">IF($A1362="","",IF(ISNA(MATCH($H1362,Buffers!$AE:$AE,0)),"Not on Buffers",IF(NOT(ISNUMBER($B1362)),"Needs a date",IF(INT($B1362)&lt;PlanDate,"Past due",IF(INT($B1362)=PlanDate,"Due today",IF(AND(INDEX(Buffers!$L:$L,MATCH($H1362,Buffers!$AE:$AE,0))="Planned",$E1362&gt;0,INT($B1362)&lt;=PlanDate+ROUNDUP(IF(ISNUMBER(SpikeHorizon),SpikeHorizon,INDEX(Buffers!$D:$D,MATCH($H1362,Buffers!$AE:$AE,0))),0),$E1362&gt;=SpikePct*INDEX(Buffers!$P:$P,MATCH($H1362,Buffers!$AE:$AE,0))),"Spike","Not qualified"))))))</f>
        <v/>
      </c>
      <c r="G1362" s="8" t="str">
        <f aca="false">IF($A1362="","",IF(OR($F1362="Past due",$F1362="Due today",$F1362="Spike"),$C1362,0))</f>
        <v/>
      </c>
      <c r="H1362" s="8" t="str">
        <f aca="false">IF($A1362="","",SUBSTITUTE(SUBSTITUTE(SUBSTITUTE($A1362&amp;"","~","~~"),"*","~*"),"?","~?"))</f>
        <v/>
      </c>
    </row>
    <row r="1363" customFormat="false" ht="15" hidden="false" customHeight="false" outlineLevel="0" collapsed="false">
      <c r="A1363" s="11"/>
      <c r="B1363" s="6"/>
      <c r="C1363" s="11"/>
      <c r="D1363" s="11"/>
      <c r="E1363" s="8" t="str">
        <f aca="false">IF($A1363="","",SUMIFS($C:$C,$A:$A,$H1363,$B:$B,"&gt;="&amp;INT($B1363),$B:$B,"&lt;"&amp;(INT($B1363)+1)))</f>
        <v/>
      </c>
      <c r="F1363" s="19" t="str">
        <f aca="false">IF($A1363="","",IF(ISNA(MATCH($H1363,Buffers!$AE:$AE,0)),"Not on Buffers",IF(NOT(ISNUMBER($B1363)),"Needs a date",IF(INT($B1363)&lt;PlanDate,"Past due",IF(INT($B1363)=PlanDate,"Due today",IF(AND(INDEX(Buffers!$L:$L,MATCH($H1363,Buffers!$AE:$AE,0))="Planned",$E1363&gt;0,INT($B1363)&lt;=PlanDate+ROUNDUP(IF(ISNUMBER(SpikeHorizon),SpikeHorizon,INDEX(Buffers!$D:$D,MATCH($H1363,Buffers!$AE:$AE,0))),0),$E1363&gt;=SpikePct*INDEX(Buffers!$P:$P,MATCH($H1363,Buffers!$AE:$AE,0))),"Spike","Not qualified"))))))</f>
        <v/>
      </c>
      <c r="G1363" s="8" t="str">
        <f aca="false">IF($A1363="","",IF(OR($F1363="Past due",$F1363="Due today",$F1363="Spike"),$C1363,0))</f>
        <v/>
      </c>
      <c r="H1363" s="8" t="str">
        <f aca="false">IF($A1363="","",SUBSTITUTE(SUBSTITUTE(SUBSTITUTE($A1363&amp;"","~","~~"),"*","~*"),"?","~?"))</f>
        <v/>
      </c>
    </row>
    <row r="1364" customFormat="false" ht="15" hidden="false" customHeight="false" outlineLevel="0" collapsed="false">
      <c r="A1364" s="11"/>
      <c r="B1364" s="6"/>
      <c r="C1364" s="11"/>
      <c r="D1364" s="11"/>
      <c r="E1364" s="8" t="str">
        <f aca="false">IF($A1364="","",SUMIFS($C:$C,$A:$A,$H1364,$B:$B,"&gt;="&amp;INT($B1364),$B:$B,"&lt;"&amp;(INT($B1364)+1)))</f>
        <v/>
      </c>
      <c r="F1364" s="19" t="str">
        <f aca="false">IF($A1364="","",IF(ISNA(MATCH($H1364,Buffers!$AE:$AE,0)),"Not on Buffers",IF(NOT(ISNUMBER($B1364)),"Needs a date",IF(INT($B1364)&lt;PlanDate,"Past due",IF(INT($B1364)=PlanDate,"Due today",IF(AND(INDEX(Buffers!$L:$L,MATCH($H1364,Buffers!$AE:$AE,0))="Planned",$E1364&gt;0,INT($B1364)&lt;=PlanDate+ROUNDUP(IF(ISNUMBER(SpikeHorizon),SpikeHorizon,INDEX(Buffers!$D:$D,MATCH($H1364,Buffers!$AE:$AE,0))),0),$E1364&gt;=SpikePct*INDEX(Buffers!$P:$P,MATCH($H1364,Buffers!$AE:$AE,0))),"Spike","Not qualified"))))))</f>
        <v/>
      </c>
      <c r="G1364" s="8" t="str">
        <f aca="false">IF($A1364="","",IF(OR($F1364="Past due",$F1364="Due today",$F1364="Spike"),$C1364,0))</f>
        <v/>
      </c>
      <c r="H1364" s="8" t="str">
        <f aca="false">IF($A1364="","",SUBSTITUTE(SUBSTITUTE(SUBSTITUTE($A1364&amp;"","~","~~"),"*","~*"),"?","~?"))</f>
        <v/>
      </c>
    </row>
    <row r="1365" customFormat="false" ht="15" hidden="false" customHeight="false" outlineLevel="0" collapsed="false">
      <c r="A1365" s="11"/>
      <c r="B1365" s="6"/>
      <c r="C1365" s="11"/>
      <c r="D1365" s="11"/>
      <c r="E1365" s="8" t="str">
        <f aca="false">IF($A1365="","",SUMIFS($C:$C,$A:$A,$H1365,$B:$B,"&gt;="&amp;INT($B1365),$B:$B,"&lt;"&amp;(INT($B1365)+1)))</f>
        <v/>
      </c>
      <c r="F1365" s="19" t="str">
        <f aca="false">IF($A1365="","",IF(ISNA(MATCH($H1365,Buffers!$AE:$AE,0)),"Not on Buffers",IF(NOT(ISNUMBER($B1365)),"Needs a date",IF(INT($B1365)&lt;PlanDate,"Past due",IF(INT($B1365)=PlanDate,"Due today",IF(AND(INDEX(Buffers!$L:$L,MATCH($H1365,Buffers!$AE:$AE,0))="Planned",$E1365&gt;0,INT($B1365)&lt;=PlanDate+ROUNDUP(IF(ISNUMBER(SpikeHorizon),SpikeHorizon,INDEX(Buffers!$D:$D,MATCH($H1365,Buffers!$AE:$AE,0))),0),$E1365&gt;=SpikePct*INDEX(Buffers!$P:$P,MATCH($H1365,Buffers!$AE:$AE,0))),"Spike","Not qualified"))))))</f>
        <v/>
      </c>
      <c r="G1365" s="8" t="str">
        <f aca="false">IF($A1365="","",IF(OR($F1365="Past due",$F1365="Due today",$F1365="Spike"),$C1365,0))</f>
        <v/>
      </c>
      <c r="H1365" s="8" t="str">
        <f aca="false">IF($A1365="","",SUBSTITUTE(SUBSTITUTE(SUBSTITUTE($A1365&amp;"","~","~~"),"*","~*"),"?","~?"))</f>
        <v/>
      </c>
    </row>
    <row r="1366" customFormat="false" ht="15" hidden="false" customHeight="false" outlineLevel="0" collapsed="false">
      <c r="A1366" s="11"/>
      <c r="B1366" s="6"/>
      <c r="C1366" s="11"/>
      <c r="D1366" s="11"/>
      <c r="E1366" s="8" t="str">
        <f aca="false">IF($A1366="","",SUMIFS($C:$C,$A:$A,$H1366,$B:$B,"&gt;="&amp;INT($B1366),$B:$B,"&lt;"&amp;(INT($B1366)+1)))</f>
        <v/>
      </c>
      <c r="F1366" s="19" t="str">
        <f aca="false">IF($A1366="","",IF(ISNA(MATCH($H1366,Buffers!$AE:$AE,0)),"Not on Buffers",IF(NOT(ISNUMBER($B1366)),"Needs a date",IF(INT($B1366)&lt;PlanDate,"Past due",IF(INT($B1366)=PlanDate,"Due today",IF(AND(INDEX(Buffers!$L:$L,MATCH($H1366,Buffers!$AE:$AE,0))="Planned",$E1366&gt;0,INT($B1366)&lt;=PlanDate+ROUNDUP(IF(ISNUMBER(SpikeHorizon),SpikeHorizon,INDEX(Buffers!$D:$D,MATCH($H1366,Buffers!$AE:$AE,0))),0),$E1366&gt;=SpikePct*INDEX(Buffers!$P:$P,MATCH($H1366,Buffers!$AE:$AE,0))),"Spike","Not qualified"))))))</f>
        <v/>
      </c>
      <c r="G1366" s="8" t="str">
        <f aca="false">IF($A1366="","",IF(OR($F1366="Past due",$F1366="Due today",$F1366="Spike"),$C1366,0))</f>
        <v/>
      </c>
      <c r="H1366" s="8" t="str">
        <f aca="false">IF($A1366="","",SUBSTITUTE(SUBSTITUTE(SUBSTITUTE($A1366&amp;"","~","~~"),"*","~*"),"?","~?"))</f>
        <v/>
      </c>
    </row>
    <row r="1367" customFormat="false" ht="15" hidden="false" customHeight="false" outlineLevel="0" collapsed="false">
      <c r="A1367" s="11"/>
      <c r="B1367" s="6"/>
      <c r="C1367" s="11"/>
      <c r="D1367" s="11"/>
      <c r="E1367" s="8" t="str">
        <f aca="false">IF($A1367="","",SUMIFS($C:$C,$A:$A,$H1367,$B:$B,"&gt;="&amp;INT($B1367),$B:$B,"&lt;"&amp;(INT($B1367)+1)))</f>
        <v/>
      </c>
      <c r="F1367" s="19" t="str">
        <f aca="false">IF($A1367="","",IF(ISNA(MATCH($H1367,Buffers!$AE:$AE,0)),"Not on Buffers",IF(NOT(ISNUMBER($B1367)),"Needs a date",IF(INT($B1367)&lt;PlanDate,"Past due",IF(INT($B1367)=PlanDate,"Due today",IF(AND(INDEX(Buffers!$L:$L,MATCH($H1367,Buffers!$AE:$AE,0))="Planned",$E1367&gt;0,INT($B1367)&lt;=PlanDate+ROUNDUP(IF(ISNUMBER(SpikeHorizon),SpikeHorizon,INDEX(Buffers!$D:$D,MATCH($H1367,Buffers!$AE:$AE,0))),0),$E1367&gt;=SpikePct*INDEX(Buffers!$P:$P,MATCH($H1367,Buffers!$AE:$AE,0))),"Spike","Not qualified"))))))</f>
        <v/>
      </c>
      <c r="G1367" s="8" t="str">
        <f aca="false">IF($A1367="","",IF(OR($F1367="Past due",$F1367="Due today",$F1367="Spike"),$C1367,0))</f>
        <v/>
      </c>
      <c r="H1367" s="8" t="str">
        <f aca="false">IF($A1367="","",SUBSTITUTE(SUBSTITUTE(SUBSTITUTE($A1367&amp;"","~","~~"),"*","~*"),"?","~?"))</f>
        <v/>
      </c>
    </row>
    <row r="1368" customFormat="false" ht="15" hidden="false" customHeight="false" outlineLevel="0" collapsed="false">
      <c r="A1368" s="11"/>
      <c r="B1368" s="6"/>
      <c r="C1368" s="11"/>
      <c r="D1368" s="11"/>
      <c r="E1368" s="8" t="str">
        <f aca="false">IF($A1368="","",SUMIFS($C:$C,$A:$A,$H1368,$B:$B,"&gt;="&amp;INT($B1368),$B:$B,"&lt;"&amp;(INT($B1368)+1)))</f>
        <v/>
      </c>
      <c r="F1368" s="19" t="str">
        <f aca="false">IF($A1368="","",IF(ISNA(MATCH($H1368,Buffers!$AE:$AE,0)),"Not on Buffers",IF(NOT(ISNUMBER($B1368)),"Needs a date",IF(INT($B1368)&lt;PlanDate,"Past due",IF(INT($B1368)=PlanDate,"Due today",IF(AND(INDEX(Buffers!$L:$L,MATCH($H1368,Buffers!$AE:$AE,0))="Planned",$E1368&gt;0,INT($B1368)&lt;=PlanDate+ROUNDUP(IF(ISNUMBER(SpikeHorizon),SpikeHorizon,INDEX(Buffers!$D:$D,MATCH($H1368,Buffers!$AE:$AE,0))),0),$E1368&gt;=SpikePct*INDEX(Buffers!$P:$P,MATCH($H1368,Buffers!$AE:$AE,0))),"Spike","Not qualified"))))))</f>
        <v/>
      </c>
      <c r="G1368" s="8" t="str">
        <f aca="false">IF($A1368="","",IF(OR($F1368="Past due",$F1368="Due today",$F1368="Spike"),$C1368,0))</f>
        <v/>
      </c>
      <c r="H1368" s="8" t="str">
        <f aca="false">IF($A1368="","",SUBSTITUTE(SUBSTITUTE(SUBSTITUTE($A1368&amp;"","~","~~"),"*","~*"),"?","~?"))</f>
        <v/>
      </c>
    </row>
    <row r="1369" customFormat="false" ht="15" hidden="false" customHeight="false" outlineLevel="0" collapsed="false">
      <c r="A1369" s="11"/>
      <c r="B1369" s="6"/>
      <c r="C1369" s="11"/>
      <c r="D1369" s="11"/>
      <c r="E1369" s="8" t="str">
        <f aca="false">IF($A1369="","",SUMIFS($C:$C,$A:$A,$H1369,$B:$B,"&gt;="&amp;INT($B1369),$B:$B,"&lt;"&amp;(INT($B1369)+1)))</f>
        <v/>
      </c>
      <c r="F1369" s="19" t="str">
        <f aca="false">IF($A1369="","",IF(ISNA(MATCH($H1369,Buffers!$AE:$AE,0)),"Not on Buffers",IF(NOT(ISNUMBER($B1369)),"Needs a date",IF(INT($B1369)&lt;PlanDate,"Past due",IF(INT($B1369)=PlanDate,"Due today",IF(AND(INDEX(Buffers!$L:$L,MATCH($H1369,Buffers!$AE:$AE,0))="Planned",$E1369&gt;0,INT($B1369)&lt;=PlanDate+ROUNDUP(IF(ISNUMBER(SpikeHorizon),SpikeHorizon,INDEX(Buffers!$D:$D,MATCH($H1369,Buffers!$AE:$AE,0))),0),$E1369&gt;=SpikePct*INDEX(Buffers!$P:$P,MATCH($H1369,Buffers!$AE:$AE,0))),"Spike","Not qualified"))))))</f>
        <v/>
      </c>
      <c r="G1369" s="8" t="str">
        <f aca="false">IF($A1369="","",IF(OR($F1369="Past due",$F1369="Due today",$F1369="Spike"),$C1369,0))</f>
        <v/>
      </c>
      <c r="H1369" s="8" t="str">
        <f aca="false">IF($A1369="","",SUBSTITUTE(SUBSTITUTE(SUBSTITUTE($A1369&amp;"","~","~~"),"*","~*"),"?","~?"))</f>
        <v/>
      </c>
    </row>
    <row r="1370" customFormat="false" ht="15" hidden="false" customHeight="false" outlineLevel="0" collapsed="false">
      <c r="A1370" s="11"/>
      <c r="B1370" s="6"/>
      <c r="C1370" s="11"/>
      <c r="D1370" s="11"/>
      <c r="E1370" s="8" t="str">
        <f aca="false">IF($A1370="","",SUMIFS($C:$C,$A:$A,$H1370,$B:$B,"&gt;="&amp;INT($B1370),$B:$B,"&lt;"&amp;(INT($B1370)+1)))</f>
        <v/>
      </c>
      <c r="F1370" s="19" t="str">
        <f aca="false">IF($A1370="","",IF(ISNA(MATCH($H1370,Buffers!$AE:$AE,0)),"Not on Buffers",IF(NOT(ISNUMBER($B1370)),"Needs a date",IF(INT($B1370)&lt;PlanDate,"Past due",IF(INT($B1370)=PlanDate,"Due today",IF(AND(INDEX(Buffers!$L:$L,MATCH($H1370,Buffers!$AE:$AE,0))="Planned",$E1370&gt;0,INT($B1370)&lt;=PlanDate+ROUNDUP(IF(ISNUMBER(SpikeHorizon),SpikeHorizon,INDEX(Buffers!$D:$D,MATCH($H1370,Buffers!$AE:$AE,0))),0),$E1370&gt;=SpikePct*INDEX(Buffers!$P:$P,MATCH($H1370,Buffers!$AE:$AE,0))),"Spike","Not qualified"))))))</f>
        <v/>
      </c>
      <c r="G1370" s="8" t="str">
        <f aca="false">IF($A1370="","",IF(OR($F1370="Past due",$F1370="Due today",$F1370="Spike"),$C1370,0))</f>
        <v/>
      </c>
      <c r="H1370" s="8" t="str">
        <f aca="false">IF($A1370="","",SUBSTITUTE(SUBSTITUTE(SUBSTITUTE($A1370&amp;"","~","~~"),"*","~*"),"?","~?"))</f>
        <v/>
      </c>
    </row>
    <row r="1371" customFormat="false" ht="15" hidden="false" customHeight="false" outlineLevel="0" collapsed="false">
      <c r="A1371" s="11"/>
      <c r="B1371" s="6"/>
      <c r="C1371" s="11"/>
      <c r="D1371" s="11"/>
      <c r="E1371" s="8" t="str">
        <f aca="false">IF($A1371="","",SUMIFS($C:$C,$A:$A,$H1371,$B:$B,"&gt;="&amp;INT($B1371),$B:$B,"&lt;"&amp;(INT($B1371)+1)))</f>
        <v/>
      </c>
      <c r="F1371" s="19" t="str">
        <f aca="false">IF($A1371="","",IF(ISNA(MATCH($H1371,Buffers!$AE:$AE,0)),"Not on Buffers",IF(NOT(ISNUMBER($B1371)),"Needs a date",IF(INT($B1371)&lt;PlanDate,"Past due",IF(INT($B1371)=PlanDate,"Due today",IF(AND(INDEX(Buffers!$L:$L,MATCH($H1371,Buffers!$AE:$AE,0))="Planned",$E1371&gt;0,INT($B1371)&lt;=PlanDate+ROUNDUP(IF(ISNUMBER(SpikeHorizon),SpikeHorizon,INDEX(Buffers!$D:$D,MATCH($H1371,Buffers!$AE:$AE,0))),0),$E1371&gt;=SpikePct*INDEX(Buffers!$P:$P,MATCH($H1371,Buffers!$AE:$AE,0))),"Spike","Not qualified"))))))</f>
        <v/>
      </c>
      <c r="G1371" s="8" t="str">
        <f aca="false">IF($A1371="","",IF(OR($F1371="Past due",$F1371="Due today",$F1371="Spike"),$C1371,0))</f>
        <v/>
      </c>
      <c r="H1371" s="8" t="str">
        <f aca="false">IF($A1371="","",SUBSTITUTE(SUBSTITUTE(SUBSTITUTE($A1371&amp;"","~","~~"),"*","~*"),"?","~?"))</f>
        <v/>
      </c>
    </row>
    <row r="1372" customFormat="false" ht="15" hidden="false" customHeight="false" outlineLevel="0" collapsed="false">
      <c r="A1372" s="11"/>
      <c r="B1372" s="6"/>
      <c r="C1372" s="11"/>
      <c r="D1372" s="11"/>
      <c r="E1372" s="8" t="str">
        <f aca="false">IF($A1372="","",SUMIFS($C:$C,$A:$A,$H1372,$B:$B,"&gt;="&amp;INT($B1372),$B:$B,"&lt;"&amp;(INT($B1372)+1)))</f>
        <v/>
      </c>
      <c r="F1372" s="19" t="str">
        <f aca="false">IF($A1372="","",IF(ISNA(MATCH($H1372,Buffers!$AE:$AE,0)),"Not on Buffers",IF(NOT(ISNUMBER($B1372)),"Needs a date",IF(INT($B1372)&lt;PlanDate,"Past due",IF(INT($B1372)=PlanDate,"Due today",IF(AND(INDEX(Buffers!$L:$L,MATCH($H1372,Buffers!$AE:$AE,0))="Planned",$E1372&gt;0,INT($B1372)&lt;=PlanDate+ROUNDUP(IF(ISNUMBER(SpikeHorizon),SpikeHorizon,INDEX(Buffers!$D:$D,MATCH($H1372,Buffers!$AE:$AE,0))),0),$E1372&gt;=SpikePct*INDEX(Buffers!$P:$P,MATCH($H1372,Buffers!$AE:$AE,0))),"Spike","Not qualified"))))))</f>
        <v/>
      </c>
      <c r="G1372" s="8" t="str">
        <f aca="false">IF($A1372="","",IF(OR($F1372="Past due",$F1372="Due today",$F1372="Spike"),$C1372,0))</f>
        <v/>
      </c>
      <c r="H1372" s="8" t="str">
        <f aca="false">IF($A1372="","",SUBSTITUTE(SUBSTITUTE(SUBSTITUTE($A1372&amp;"","~","~~"),"*","~*"),"?","~?"))</f>
        <v/>
      </c>
    </row>
    <row r="1373" customFormat="false" ht="15" hidden="false" customHeight="false" outlineLevel="0" collapsed="false">
      <c r="A1373" s="11"/>
      <c r="B1373" s="6"/>
      <c r="C1373" s="11"/>
      <c r="D1373" s="11"/>
      <c r="E1373" s="8" t="str">
        <f aca="false">IF($A1373="","",SUMIFS($C:$C,$A:$A,$H1373,$B:$B,"&gt;="&amp;INT($B1373),$B:$B,"&lt;"&amp;(INT($B1373)+1)))</f>
        <v/>
      </c>
      <c r="F1373" s="19" t="str">
        <f aca="false">IF($A1373="","",IF(ISNA(MATCH($H1373,Buffers!$AE:$AE,0)),"Not on Buffers",IF(NOT(ISNUMBER($B1373)),"Needs a date",IF(INT($B1373)&lt;PlanDate,"Past due",IF(INT($B1373)=PlanDate,"Due today",IF(AND(INDEX(Buffers!$L:$L,MATCH($H1373,Buffers!$AE:$AE,0))="Planned",$E1373&gt;0,INT($B1373)&lt;=PlanDate+ROUNDUP(IF(ISNUMBER(SpikeHorizon),SpikeHorizon,INDEX(Buffers!$D:$D,MATCH($H1373,Buffers!$AE:$AE,0))),0),$E1373&gt;=SpikePct*INDEX(Buffers!$P:$P,MATCH($H1373,Buffers!$AE:$AE,0))),"Spike","Not qualified"))))))</f>
        <v/>
      </c>
      <c r="G1373" s="8" t="str">
        <f aca="false">IF($A1373="","",IF(OR($F1373="Past due",$F1373="Due today",$F1373="Spike"),$C1373,0))</f>
        <v/>
      </c>
      <c r="H1373" s="8" t="str">
        <f aca="false">IF($A1373="","",SUBSTITUTE(SUBSTITUTE(SUBSTITUTE($A1373&amp;"","~","~~"),"*","~*"),"?","~?"))</f>
        <v/>
      </c>
    </row>
    <row r="1374" customFormat="false" ht="15" hidden="false" customHeight="false" outlineLevel="0" collapsed="false">
      <c r="A1374" s="11"/>
      <c r="B1374" s="6"/>
      <c r="C1374" s="11"/>
      <c r="D1374" s="11"/>
      <c r="E1374" s="8" t="str">
        <f aca="false">IF($A1374="","",SUMIFS($C:$C,$A:$A,$H1374,$B:$B,"&gt;="&amp;INT($B1374),$B:$B,"&lt;"&amp;(INT($B1374)+1)))</f>
        <v/>
      </c>
      <c r="F1374" s="19" t="str">
        <f aca="false">IF($A1374="","",IF(ISNA(MATCH($H1374,Buffers!$AE:$AE,0)),"Not on Buffers",IF(NOT(ISNUMBER($B1374)),"Needs a date",IF(INT($B1374)&lt;PlanDate,"Past due",IF(INT($B1374)=PlanDate,"Due today",IF(AND(INDEX(Buffers!$L:$L,MATCH($H1374,Buffers!$AE:$AE,0))="Planned",$E1374&gt;0,INT($B1374)&lt;=PlanDate+ROUNDUP(IF(ISNUMBER(SpikeHorizon),SpikeHorizon,INDEX(Buffers!$D:$D,MATCH($H1374,Buffers!$AE:$AE,0))),0),$E1374&gt;=SpikePct*INDEX(Buffers!$P:$P,MATCH($H1374,Buffers!$AE:$AE,0))),"Spike","Not qualified"))))))</f>
        <v/>
      </c>
      <c r="G1374" s="8" t="str">
        <f aca="false">IF($A1374="","",IF(OR($F1374="Past due",$F1374="Due today",$F1374="Spike"),$C1374,0))</f>
        <v/>
      </c>
      <c r="H1374" s="8" t="str">
        <f aca="false">IF($A1374="","",SUBSTITUTE(SUBSTITUTE(SUBSTITUTE($A1374&amp;"","~","~~"),"*","~*"),"?","~?"))</f>
        <v/>
      </c>
    </row>
    <row r="1375" customFormat="false" ht="15" hidden="false" customHeight="false" outlineLevel="0" collapsed="false">
      <c r="A1375" s="11"/>
      <c r="B1375" s="6"/>
      <c r="C1375" s="11"/>
      <c r="D1375" s="11"/>
      <c r="E1375" s="8" t="str">
        <f aca="false">IF($A1375="","",SUMIFS($C:$C,$A:$A,$H1375,$B:$B,"&gt;="&amp;INT($B1375),$B:$B,"&lt;"&amp;(INT($B1375)+1)))</f>
        <v/>
      </c>
      <c r="F1375" s="19" t="str">
        <f aca="false">IF($A1375="","",IF(ISNA(MATCH($H1375,Buffers!$AE:$AE,0)),"Not on Buffers",IF(NOT(ISNUMBER($B1375)),"Needs a date",IF(INT($B1375)&lt;PlanDate,"Past due",IF(INT($B1375)=PlanDate,"Due today",IF(AND(INDEX(Buffers!$L:$L,MATCH($H1375,Buffers!$AE:$AE,0))="Planned",$E1375&gt;0,INT($B1375)&lt;=PlanDate+ROUNDUP(IF(ISNUMBER(SpikeHorizon),SpikeHorizon,INDEX(Buffers!$D:$D,MATCH($H1375,Buffers!$AE:$AE,0))),0),$E1375&gt;=SpikePct*INDEX(Buffers!$P:$P,MATCH($H1375,Buffers!$AE:$AE,0))),"Spike","Not qualified"))))))</f>
        <v/>
      </c>
      <c r="G1375" s="8" t="str">
        <f aca="false">IF($A1375="","",IF(OR($F1375="Past due",$F1375="Due today",$F1375="Spike"),$C1375,0))</f>
        <v/>
      </c>
      <c r="H1375" s="8" t="str">
        <f aca="false">IF($A1375="","",SUBSTITUTE(SUBSTITUTE(SUBSTITUTE($A1375&amp;"","~","~~"),"*","~*"),"?","~?"))</f>
        <v/>
      </c>
    </row>
    <row r="1376" customFormat="false" ht="15" hidden="false" customHeight="false" outlineLevel="0" collapsed="false">
      <c r="A1376" s="11"/>
      <c r="B1376" s="6"/>
      <c r="C1376" s="11"/>
      <c r="D1376" s="11"/>
      <c r="E1376" s="8" t="str">
        <f aca="false">IF($A1376="","",SUMIFS($C:$C,$A:$A,$H1376,$B:$B,"&gt;="&amp;INT($B1376),$B:$B,"&lt;"&amp;(INT($B1376)+1)))</f>
        <v/>
      </c>
      <c r="F1376" s="19" t="str">
        <f aca="false">IF($A1376="","",IF(ISNA(MATCH($H1376,Buffers!$AE:$AE,0)),"Not on Buffers",IF(NOT(ISNUMBER($B1376)),"Needs a date",IF(INT($B1376)&lt;PlanDate,"Past due",IF(INT($B1376)=PlanDate,"Due today",IF(AND(INDEX(Buffers!$L:$L,MATCH($H1376,Buffers!$AE:$AE,0))="Planned",$E1376&gt;0,INT($B1376)&lt;=PlanDate+ROUNDUP(IF(ISNUMBER(SpikeHorizon),SpikeHorizon,INDEX(Buffers!$D:$D,MATCH($H1376,Buffers!$AE:$AE,0))),0),$E1376&gt;=SpikePct*INDEX(Buffers!$P:$P,MATCH($H1376,Buffers!$AE:$AE,0))),"Spike","Not qualified"))))))</f>
        <v/>
      </c>
      <c r="G1376" s="8" t="str">
        <f aca="false">IF($A1376="","",IF(OR($F1376="Past due",$F1376="Due today",$F1376="Spike"),$C1376,0))</f>
        <v/>
      </c>
      <c r="H1376" s="8" t="str">
        <f aca="false">IF($A1376="","",SUBSTITUTE(SUBSTITUTE(SUBSTITUTE($A1376&amp;"","~","~~"),"*","~*"),"?","~?"))</f>
        <v/>
      </c>
    </row>
    <row r="1377" customFormat="false" ht="15" hidden="false" customHeight="false" outlineLevel="0" collapsed="false">
      <c r="A1377" s="11"/>
      <c r="B1377" s="6"/>
      <c r="C1377" s="11"/>
      <c r="D1377" s="11"/>
      <c r="E1377" s="8" t="str">
        <f aca="false">IF($A1377="","",SUMIFS($C:$C,$A:$A,$H1377,$B:$B,"&gt;="&amp;INT($B1377),$B:$B,"&lt;"&amp;(INT($B1377)+1)))</f>
        <v/>
      </c>
      <c r="F1377" s="19" t="str">
        <f aca="false">IF($A1377="","",IF(ISNA(MATCH($H1377,Buffers!$AE:$AE,0)),"Not on Buffers",IF(NOT(ISNUMBER($B1377)),"Needs a date",IF(INT($B1377)&lt;PlanDate,"Past due",IF(INT($B1377)=PlanDate,"Due today",IF(AND(INDEX(Buffers!$L:$L,MATCH($H1377,Buffers!$AE:$AE,0))="Planned",$E1377&gt;0,INT($B1377)&lt;=PlanDate+ROUNDUP(IF(ISNUMBER(SpikeHorizon),SpikeHorizon,INDEX(Buffers!$D:$D,MATCH($H1377,Buffers!$AE:$AE,0))),0),$E1377&gt;=SpikePct*INDEX(Buffers!$P:$P,MATCH($H1377,Buffers!$AE:$AE,0))),"Spike","Not qualified"))))))</f>
        <v/>
      </c>
      <c r="G1377" s="8" t="str">
        <f aca="false">IF($A1377="","",IF(OR($F1377="Past due",$F1377="Due today",$F1377="Spike"),$C1377,0))</f>
        <v/>
      </c>
      <c r="H1377" s="8" t="str">
        <f aca="false">IF($A1377="","",SUBSTITUTE(SUBSTITUTE(SUBSTITUTE($A1377&amp;"","~","~~"),"*","~*"),"?","~?"))</f>
        <v/>
      </c>
    </row>
    <row r="1378" customFormat="false" ht="15" hidden="false" customHeight="false" outlineLevel="0" collapsed="false">
      <c r="A1378" s="11"/>
      <c r="B1378" s="6"/>
      <c r="C1378" s="11"/>
      <c r="D1378" s="11"/>
      <c r="E1378" s="8" t="str">
        <f aca="false">IF($A1378="","",SUMIFS($C:$C,$A:$A,$H1378,$B:$B,"&gt;="&amp;INT($B1378),$B:$B,"&lt;"&amp;(INT($B1378)+1)))</f>
        <v/>
      </c>
      <c r="F1378" s="19" t="str">
        <f aca="false">IF($A1378="","",IF(ISNA(MATCH($H1378,Buffers!$AE:$AE,0)),"Not on Buffers",IF(NOT(ISNUMBER($B1378)),"Needs a date",IF(INT($B1378)&lt;PlanDate,"Past due",IF(INT($B1378)=PlanDate,"Due today",IF(AND(INDEX(Buffers!$L:$L,MATCH($H1378,Buffers!$AE:$AE,0))="Planned",$E1378&gt;0,INT($B1378)&lt;=PlanDate+ROUNDUP(IF(ISNUMBER(SpikeHorizon),SpikeHorizon,INDEX(Buffers!$D:$D,MATCH($H1378,Buffers!$AE:$AE,0))),0),$E1378&gt;=SpikePct*INDEX(Buffers!$P:$P,MATCH($H1378,Buffers!$AE:$AE,0))),"Spike","Not qualified"))))))</f>
        <v/>
      </c>
      <c r="G1378" s="8" t="str">
        <f aca="false">IF($A1378="","",IF(OR($F1378="Past due",$F1378="Due today",$F1378="Spike"),$C1378,0))</f>
        <v/>
      </c>
      <c r="H1378" s="8" t="str">
        <f aca="false">IF($A1378="","",SUBSTITUTE(SUBSTITUTE(SUBSTITUTE($A1378&amp;"","~","~~"),"*","~*"),"?","~?"))</f>
        <v/>
      </c>
    </row>
    <row r="1379" customFormat="false" ht="15" hidden="false" customHeight="false" outlineLevel="0" collapsed="false">
      <c r="A1379" s="11"/>
      <c r="B1379" s="6"/>
      <c r="C1379" s="11"/>
      <c r="D1379" s="11"/>
      <c r="E1379" s="8" t="str">
        <f aca="false">IF($A1379="","",SUMIFS($C:$C,$A:$A,$H1379,$B:$B,"&gt;="&amp;INT($B1379),$B:$B,"&lt;"&amp;(INT($B1379)+1)))</f>
        <v/>
      </c>
      <c r="F1379" s="19" t="str">
        <f aca="false">IF($A1379="","",IF(ISNA(MATCH($H1379,Buffers!$AE:$AE,0)),"Not on Buffers",IF(NOT(ISNUMBER($B1379)),"Needs a date",IF(INT($B1379)&lt;PlanDate,"Past due",IF(INT($B1379)=PlanDate,"Due today",IF(AND(INDEX(Buffers!$L:$L,MATCH($H1379,Buffers!$AE:$AE,0))="Planned",$E1379&gt;0,INT($B1379)&lt;=PlanDate+ROUNDUP(IF(ISNUMBER(SpikeHorizon),SpikeHorizon,INDEX(Buffers!$D:$D,MATCH($H1379,Buffers!$AE:$AE,0))),0),$E1379&gt;=SpikePct*INDEX(Buffers!$P:$P,MATCH($H1379,Buffers!$AE:$AE,0))),"Spike","Not qualified"))))))</f>
        <v/>
      </c>
      <c r="G1379" s="8" t="str">
        <f aca="false">IF($A1379="","",IF(OR($F1379="Past due",$F1379="Due today",$F1379="Spike"),$C1379,0))</f>
        <v/>
      </c>
      <c r="H1379" s="8" t="str">
        <f aca="false">IF($A1379="","",SUBSTITUTE(SUBSTITUTE(SUBSTITUTE($A1379&amp;"","~","~~"),"*","~*"),"?","~?"))</f>
        <v/>
      </c>
    </row>
    <row r="1380" customFormat="false" ht="15" hidden="false" customHeight="false" outlineLevel="0" collapsed="false">
      <c r="A1380" s="11"/>
      <c r="B1380" s="6"/>
      <c r="C1380" s="11"/>
      <c r="D1380" s="11"/>
      <c r="E1380" s="8" t="str">
        <f aca="false">IF($A1380="","",SUMIFS($C:$C,$A:$A,$H1380,$B:$B,"&gt;="&amp;INT($B1380),$B:$B,"&lt;"&amp;(INT($B1380)+1)))</f>
        <v/>
      </c>
      <c r="F1380" s="19" t="str">
        <f aca="false">IF($A1380="","",IF(ISNA(MATCH($H1380,Buffers!$AE:$AE,0)),"Not on Buffers",IF(NOT(ISNUMBER($B1380)),"Needs a date",IF(INT($B1380)&lt;PlanDate,"Past due",IF(INT($B1380)=PlanDate,"Due today",IF(AND(INDEX(Buffers!$L:$L,MATCH($H1380,Buffers!$AE:$AE,0))="Planned",$E1380&gt;0,INT($B1380)&lt;=PlanDate+ROUNDUP(IF(ISNUMBER(SpikeHorizon),SpikeHorizon,INDEX(Buffers!$D:$D,MATCH($H1380,Buffers!$AE:$AE,0))),0),$E1380&gt;=SpikePct*INDEX(Buffers!$P:$P,MATCH($H1380,Buffers!$AE:$AE,0))),"Spike","Not qualified"))))))</f>
        <v/>
      </c>
      <c r="G1380" s="8" t="str">
        <f aca="false">IF($A1380="","",IF(OR($F1380="Past due",$F1380="Due today",$F1380="Spike"),$C1380,0))</f>
        <v/>
      </c>
      <c r="H1380" s="8" t="str">
        <f aca="false">IF($A1380="","",SUBSTITUTE(SUBSTITUTE(SUBSTITUTE($A1380&amp;"","~","~~"),"*","~*"),"?","~?"))</f>
        <v/>
      </c>
    </row>
    <row r="1381" customFormat="false" ht="15" hidden="false" customHeight="false" outlineLevel="0" collapsed="false">
      <c r="A1381" s="11"/>
      <c r="B1381" s="6"/>
      <c r="C1381" s="11"/>
      <c r="D1381" s="11"/>
      <c r="E1381" s="8" t="str">
        <f aca="false">IF($A1381="","",SUMIFS($C:$C,$A:$A,$H1381,$B:$B,"&gt;="&amp;INT($B1381),$B:$B,"&lt;"&amp;(INT($B1381)+1)))</f>
        <v/>
      </c>
      <c r="F1381" s="19" t="str">
        <f aca="false">IF($A1381="","",IF(ISNA(MATCH($H1381,Buffers!$AE:$AE,0)),"Not on Buffers",IF(NOT(ISNUMBER($B1381)),"Needs a date",IF(INT($B1381)&lt;PlanDate,"Past due",IF(INT($B1381)=PlanDate,"Due today",IF(AND(INDEX(Buffers!$L:$L,MATCH($H1381,Buffers!$AE:$AE,0))="Planned",$E1381&gt;0,INT($B1381)&lt;=PlanDate+ROUNDUP(IF(ISNUMBER(SpikeHorizon),SpikeHorizon,INDEX(Buffers!$D:$D,MATCH($H1381,Buffers!$AE:$AE,0))),0),$E1381&gt;=SpikePct*INDEX(Buffers!$P:$P,MATCH($H1381,Buffers!$AE:$AE,0))),"Spike","Not qualified"))))))</f>
        <v/>
      </c>
      <c r="G1381" s="8" t="str">
        <f aca="false">IF($A1381="","",IF(OR($F1381="Past due",$F1381="Due today",$F1381="Spike"),$C1381,0))</f>
        <v/>
      </c>
      <c r="H1381" s="8" t="str">
        <f aca="false">IF($A1381="","",SUBSTITUTE(SUBSTITUTE(SUBSTITUTE($A1381&amp;"","~","~~"),"*","~*"),"?","~?"))</f>
        <v/>
      </c>
    </row>
    <row r="1382" customFormat="false" ht="15" hidden="false" customHeight="false" outlineLevel="0" collapsed="false">
      <c r="A1382" s="11"/>
      <c r="B1382" s="6"/>
      <c r="C1382" s="11"/>
      <c r="D1382" s="11"/>
      <c r="E1382" s="8" t="str">
        <f aca="false">IF($A1382="","",SUMIFS($C:$C,$A:$A,$H1382,$B:$B,"&gt;="&amp;INT($B1382),$B:$B,"&lt;"&amp;(INT($B1382)+1)))</f>
        <v/>
      </c>
      <c r="F1382" s="19" t="str">
        <f aca="false">IF($A1382="","",IF(ISNA(MATCH($H1382,Buffers!$AE:$AE,0)),"Not on Buffers",IF(NOT(ISNUMBER($B1382)),"Needs a date",IF(INT($B1382)&lt;PlanDate,"Past due",IF(INT($B1382)=PlanDate,"Due today",IF(AND(INDEX(Buffers!$L:$L,MATCH($H1382,Buffers!$AE:$AE,0))="Planned",$E1382&gt;0,INT($B1382)&lt;=PlanDate+ROUNDUP(IF(ISNUMBER(SpikeHorizon),SpikeHorizon,INDEX(Buffers!$D:$D,MATCH($H1382,Buffers!$AE:$AE,0))),0),$E1382&gt;=SpikePct*INDEX(Buffers!$P:$P,MATCH($H1382,Buffers!$AE:$AE,0))),"Spike","Not qualified"))))))</f>
        <v/>
      </c>
      <c r="G1382" s="8" t="str">
        <f aca="false">IF($A1382="","",IF(OR($F1382="Past due",$F1382="Due today",$F1382="Spike"),$C1382,0))</f>
        <v/>
      </c>
      <c r="H1382" s="8" t="str">
        <f aca="false">IF($A1382="","",SUBSTITUTE(SUBSTITUTE(SUBSTITUTE($A1382&amp;"","~","~~"),"*","~*"),"?","~?"))</f>
        <v/>
      </c>
    </row>
    <row r="1383" customFormat="false" ht="15" hidden="false" customHeight="false" outlineLevel="0" collapsed="false">
      <c r="A1383" s="11"/>
      <c r="B1383" s="6"/>
      <c r="C1383" s="11"/>
      <c r="D1383" s="11"/>
      <c r="E1383" s="8" t="str">
        <f aca="false">IF($A1383="","",SUMIFS($C:$C,$A:$A,$H1383,$B:$B,"&gt;="&amp;INT($B1383),$B:$B,"&lt;"&amp;(INT($B1383)+1)))</f>
        <v/>
      </c>
      <c r="F1383" s="19" t="str">
        <f aca="false">IF($A1383="","",IF(ISNA(MATCH($H1383,Buffers!$AE:$AE,0)),"Not on Buffers",IF(NOT(ISNUMBER($B1383)),"Needs a date",IF(INT($B1383)&lt;PlanDate,"Past due",IF(INT($B1383)=PlanDate,"Due today",IF(AND(INDEX(Buffers!$L:$L,MATCH($H1383,Buffers!$AE:$AE,0))="Planned",$E1383&gt;0,INT($B1383)&lt;=PlanDate+ROUNDUP(IF(ISNUMBER(SpikeHorizon),SpikeHorizon,INDEX(Buffers!$D:$D,MATCH($H1383,Buffers!$AE:$AE,0))),0),$E1383&gt;=SpikePct*INDEX(Buffers!$P:$P,MATCH($H1383,Buffers!$AE:$AE,0))),"Spike","Not qualified"))))))</f>
        <v/>
      </c>
      <c r="G1383" s="8" t="str">
        <f aca="false">IF($A1383="","",IF(OR($F1383="Past due",$F1383="Due today",$F1383="Spike"),$C1383,0))</f>
        <v/>
      </c>
      <c r="H1383" s="8" t="str">
        <f aca="false">IF($A1383="","",SUBSTITUTE(SUBSTITUTE(SUBSTITUTE($A1383&amp;"","~","~~"),"*","~*"),"?","~?"))</f>
        <v/>
      </c>
    </row>
    <row r="1384" customFormat="false" ht="15" hidden="false" customHeight="false" outlineLevel="0" collapsed="false">
      <c r="A1384" s="11"/>
      <c r="B1384" s="6"/>
      <c r="C1384" s="11"/>
      <c r="D1384" s="11"/>
      <c r="E1384" s="8" t="str">
        <f aca="false">IF($A1384="","",SUMIFS($C:$C,$A:$A,$H1384,$B:$B,"&gt;="&amp;INT($B1384),$B:$B,"&lt;"&amp;(INT($B1384)+1)))</f>
        <v/>
      </c>
      <c r="F1384" s="19" t="str">
        <f aca="false">IF($A1384="","",IF(ISNA(MATCH($H1384,Buffers!$AE:$AE,0)),"Not on Buffers",IF(NOT(ISNUMBER($B1384)),"Needs a date",IF(INT($B1384)&lt;PlanDate,"Past due",IF(INT($B1384)=PlanDate,"Due today",IF(AND(INDEX(Buffers!$L:$L,MATCH($H1384,Buffers!$AE:$AE,0))="Planned",$E1384&gt;0,INT($B1384)&lt;=PlanDate+ROUNDUP(IF(ISNUMBER(SpikeHorizon),SpikeHorizon,INDEX(Buffers!$D:$D,MATCH($H1384,Buffers!$AE:$AE,0))),0),$E1384&gt;=SpikePct*INDEX(Buffers!$P:$P,MATCH($H1384,Buffers!$AE:$AE,0))),"Spike","Not qualified"))))))</f>
        <v/>
      </c>
      <c r="G1384" s="8" t="str">
        <f aca="false">IF($A1384="","",IF(OR($F1384="Past due",$F1384="Due today",$F1384="Spike"),$C1384,0))</f>
        <v/>
      </c>
      <c r="H1384" s="8" t="str">
        <f aca="false">IF($A1384="","",SUBSTITUTE(SUBSTITUTE(SUBSTITUTE($A1384&amp;"","~","~~"),"*","~*"),"?","~?"))</f>
        <v/>
      </c>
    </row>
    <row r="1385" customFormat="false" ht="15" hidden="false" customHeight="false" outlineLevel="0" collapsed="false">
      <c r="A1385" s="11"/>
      <c r="B1385" s="6"/>
      <c r="C1385" s="11"/>
      <c r="D1385" s="11"/>
      <c r="E1385" s="8" t="str">
        <f aca="false">IF($A1385="","",SUMIFS($C:$C,$A:$A,$H1385,$B:$B,"&gt;="&amp;INT($B1385),$B:$B,"&lt;"&amp;(INT($B1385)+1)))</f>
        <v/>
      </c>
      <c r="F1385" s="19" t="str">
        <f aca="false">IF($A1385="","",IF(ISNA(MATCH($H1385,Buffers!$AE:$AE,0)),"Not on Buffers",IF(NOT(ISNUMBER($B1385)),"Needs a date",IF(INT($B1385)&lt;PlanDate,"Past due",IF(INT($B1385)=PlanDate,"Due today",IF(AND(INDEX(Buffers!$L:$L,MATCH($H1385,Buffers!$AE:$AE,0))="Planned",$E1385&gt;0,INT($B1385)&lt;=PlanDate+ROUNDUP(IF(ISNUMBER(SpikeHorizon),SpikeHorizon,INDEX(Buffers!$D:$D,MATCH($H1385,Buffers!$AE:$AE,0))),0),$E1385&gt;=SpikePct*INDEX(Buffers!$P:$P,MATCH($H1385,Buffers!$AE:$AE,0))),"Spike","Not qualified"))))))</f>
        <v/>
      </c>
      <c r="G1385" s="8" t="str">
        <f aca="false">IF($A1385="","",IF(OR($F1385="Past due",$F1385="Due today",$F1385="Spike"),$C1385,0))</f>
        <v/>
      </c>
      <c r="H1385" s="8" t="str">
        <f aca="false">IF($A1385="","",SUBSTITUTE(SUBSTITUTE(SUBSTITUTE($A1385&amp;"","~","~~"),"*","~*"),"?","~?"))</f>
        <v/>
      </c>
    </row>
    <row r="1386" customFormat="false" ht="15" hidden="false" customHeight="false" outlineLevel="0" collapsed="false">
      <c r="A1386" s="11"/>
      <c r="B1386" s="6"/>
      <c r="C1386" s="11"/>
      <c r="D1386" s="11"/>
      <c r="E1386" s="8" t="str">
        <f aca="false">IF($A1386="","",SUMIFS($C:$C,$A:$A,$H1386,$B:$B,"&gt;="&amp;INT($B1386),$B:$B,"&lt;"&amp;(INT($B1386)+1)))</f>
        <v/>
      </c>
      <c r="F1386" s="19" t="str">
        <f aca="false">IF($A1386="","",IF(ISNA(MATCH($H1386,Buffers!$AE:$AE,0)),"Not on Buffers",IF(NOT(ISNUMBER($B1386)),"Needs a date",IF(INT($B1386)&lt;PlanDate,"Past due",IF(INT($B1386)=PlanDate,"Due today",IF(AND(INDEX(Buffers!$L:$L,MATCH($H1386,Buffers!$AE:$AE,0))="Planned",$E1386&gt;0,INT($B1386)&lt;=PlanDate+ROUNDUP(IF(ISNUMBER(SpikeHorizon),SpikeHorizon,INDEX(Buffers!$D:$D,MATCH($H1386,Buffers!$AE:$AE,0))),0),$E1386&gt;=SpikePct*INDEX(Buffers!$P:$P,MATCH($H1386,Buffers!$AE:$AE,0))),"Spike","Not qualified"))))))</f>
        <v/>
      </c>
      <c r="G1386" s="8" t="str">
        <f aca="false">IF($A1386="","",IF(OR($F1386="Past due",$F1386="Due today",$F1386="Spike"),$C1386,0))</f>
        <v/>
      </c>
      <c r="H1386" s="8" t="str">
        <f aca="false">IF($A1386="","",SUBSTITUTE(SUBSTITUTE(SUBSTITUTE($A1386&amp;"","~","~~"),"*","~*"),"?","~?"))</f>
        <v/>
      </c>
    </row>
    <row r="1387" customFormat="false" ht="15" hidden="false" customHeight="false" outlineLevel="0" collapsed="false">
      <c r="A1387" s="11"/>
      <c r="B1387" s="6"/>
      <c r="C1387" s="11"/>
      <c r="D1387" s="11"/>
      <c r="E1387" s="8" t="str">
        <f aca="false">IF($A1387="","",SUMIFS($C:$C,$A:$A,$H1387,$B:$B,"&gt;="&amp;INT($B1387),$B:$B,"&lt;"&amp;(INT($B1387)+1)))</f>
        <v/>
      </c>
      <c r="F1387" s="19" t="str">
        <f aca="false">IF($A1387="","",IF(ISNA(MATCH($H1387,Buffers!$AE:$AE,0)),"Not on Buffers",IF(NOT(ISNUMBER($B1387)),"Needs a date",IF(INT($B1387)&lt;PlanDate,"Past due",IF(INT($B1387)=PlanDate,"Due today",IF(AND(INDEX(Buffers!$L:$L,MATCH($H1387,Buffers!$AE:$AE,0))="Planned",$E1387&gt;0,INT($B1387)&lt;=PlanDate+ROUNDUP(IF(ISNUMBER(SpikeHorizon),SpikeHorizon,INDEX(Buffers!$D:$D,MATCH($H1387,Buffers!$AE:$AE,0))),0),$E1387&gt;=SpikePct*INDEX(Buffers!$P:$P,MATCH($H1387,Buffers!$AE:$AE,0))),"Spike","Not qualified"))))))</f>
        <v/>
      </c>
      <c r="G1387" s="8" t="str">
        <f aca="false">IF($A1387="","",IF(OR($F1387="Past due",$F1387="Due today",$F1387="Spike"),$C1387,0))</f>
        <v/>
      </c>
      <c r="H1387" s="8" t="str">
        <f aca="false">IF($A1387="","",SUBSTITUTE(SUBSTITUTE(SUBSTITUTE($A1387&amp;"","~","~~"),"*","~*"),"?","~?"))</f>
        <v/>
      </c>
    </row>
    <row r="1388" customFormat="false" ht="15" hidden="false" customHeight="false" outlineLevel="0" collapsed="false">
      <c r="A1388" s="11"/>
      <c r="B1388" s="6"/>
      <c r="C1388" s="11"/>
      <c r="D1388" s="11"/>
      <c r="E1388" s="8" t="str">
        <f aca="false">IF($A1388="","",SUMIFS($C:$C,$A:$A,$H1388,$B:$B,"&gt;="&amp;INT($B1388),$B:$B,"&lt;"&amp;(INT($B1388)+1)))</f>
        <v/>
      </c>
      <c r="F1388" s="19" t="str">
        <f aca="false">IF($A1388="","",IF(ISNA(MATCH($H1388,Buffers!$AE:$AE,0)),"Not on Buffers",IF(NOT(ISNUMBER($B1388)),"Needs a date",IF(INT($B1388)&lt;PlanDate,"Past due",IF(INT($B1388)=PlanDate,"Due today",IF(AND(INDEX(Buffers!$L:$L,MATCH($H1388,Buffers!$AE:$AE,0))="Planned",$E1388&gt;0,INT($B1388)&lt;=PlanDate+ROUNDUP(IF(ISNUMBER(SpikeHorizon),SpikeHorizon,INDEX(Buffers!$D:$D,MATCH($H1388,Buffers!$AE:$AE,0))),0),$E1388&gt;=SpikePct*INDEX(Buffers!$P:$P,MATCH($H1388,Buffers!$AE:$AE,0))),"Spike","Not qualified"))))))</f>
        <v/>
      </c>
      <c r="G1388" s="8" t="str">
        <f aca="false">IF($A1388="","",IF(OR($F1388="Past due",$F1388="Due today",$F1388="Spike"),$C1388,0))</f>
        <v/>
      </c>
      <c r="H1388" s="8" t="str">
        <f aca="false">IF($A1388="","",SUBSTITUTE(SUBSTITUTE(SUBSTITUTE($A1388&amp;"","~","~~"),"*","~*"),"?","~?"))</f>
        <v/>
      </c>
    </row>
    <row r="1389" customFormat="false" ht="15" hidden="false" customHeight="false" outlineLevel="0" collapsed="false">
      <c r="A1389" s="11"/>
      <c r="B1389" s="6"/>
      <c r="C1389" s="11"/>
      <c r="D1389" s="11"/>
      <c r="E1389" s="8" t="str">
        <f aca="false">IF($A1389="","",SUMIFS($C:$C,$A:$A,$H1389,$B:$B,"&gt;="&amp;INT($B1389),$B:$B,"&lt;"&amp;(INT($B1389)+1)))</f>
        <v/>
      </c>
      <c r="F1389" s="19" t="str">
        <f aca="false">IF($A1389="","",IF(ISNA(MATCH($H1389,Buffers!$AE:$AE,0)),"Not on Buffers",IF(NOT(ISNUMBER($B1389)),"Needs a date",IF(INT($B1389)&lt;PlanDate,"Past due",IF(INT($B1389)=PlanDate,"Due today",IF(AND(INDEX(Buffers!$L:$L,MATCH($H1389,Buffers!$AE:$AE,0))="Planned",$E1389&gt;0,INT($B1389)&lt;=PlanDate+ROUNDUP(IF(ISNUMBER(SpikeHorizon),SpikeHorizon,INDEX(Buffers!$D:$D,MATCH($H1389,Buffers!$AE:$AE,0))),0),$E1389&gt;=SpikePct*INDEX(Buffers!$P:$P,MATCH($H1389,Buffers!$AE:$AE,0))),"Spike","Not qualified"))))))</f>
        <v/>
      </c>
      <c r="G1389" s="8" t="str">
        <f aca="false">IF($A1389="","",IF(OR($F1389="Past due",$F1389="Due today",$F1389="Spike"),$C1389,0))</f>
        <v/>
      </c>
      <c r="H1389" s="8" t="str">
        <f aca="false">IF($A1389="","",SUBSTITUTE(SUBSTITUTE(SUBSTITUTE($A1389&amp;"","~","~~"),"*","~*"),"?","~?"))</f>
        <v/>
      </c>
    </row>
    <row r="1390" customFormat="false" ht="15" hidden="false" customHeight="false" outlineLevel="0" collapsed="false">
      <c r="A1390" s="11"/>
      <c r="B1390" s="6"/>
      <c r="C1390" s="11"/>
      <c r="D1390" s="11"/>
      <c r="E1390" s="8" t="str">
        <f aca="false">IF($A1390="","",SUMIFS($C:$C,$A:$A,$H1390,$B:$B,"&gt;="&amp;INT($B1390),$B:$B,"&lt;"&amp;(INT($B1390)+1)))</f>
        <v/>
      </c>
      <c r="F1390" s="19" t="str">
        <f aca="false">IF($A1390="","",IF(ISNA(MATCH($H1390,Buffers!$AE:$AE,0)),"Not on Buffers",IF(NOT(ISNUMBER($B1390)),"Needs a date",IF(INT($B1390)&lt;PlanDate,"Past due",IF(INT($B1390)=PlanDate,"Due today",IF(AND(INDEX(Buffers!$L:$L,MATCH($H1390,Buffers!$AE:$AE,0))="Planned",$E1390&gt;0,INT($B1390)&lt;=PlanDate+ROUNDUP(IF(ISNUMBER(SpikeHorizon),SpikeHorizon,INDEX(Buffers!$D:$D,MATCH($H1390,Buffers!$AE:$AE,0))),0),$E1390&gt;=SpikePct*INDEX(Buffers!$P:$P,MATCH($H1390,Buffers!$AE:$AE,0))),"Spike","Not qualified"))))))</f>
        <v/>
      </c>
      <c r="G1390" s="8" t="str">
        <f aca="false">IF($A1390="","",IF(OR($F1390="Past due",$F1390="Due today",$F1390="Spike"),$C1390,0))</f>
        <v/>
      </c>
      <c r="H1390" s="8" t="str">
        <f aca="false">IF($A1390="","",SUBSTITUTE(SUBSTITUTE(SUBSTITUTE($A1390&amp;"","~","~~"),"*","~*"),"?","~?"))</f>
        <v/>
      </c>
    </row>
    <row r="1391" customFormat="false" ht="15" hidden="false" customHeight="false" outlineLevel="0" collapsed="false">
      <c r="A1391" s="11"/>
      <c r="B1391" s="6"/>
      <c r="C1391" s="11"/>
      <c r="D1391" s="11"/>
      <c r="E1391" s="8" t="str">
        <f aca="false">IF($A1391="","",SUMIFS($C:$C,$A:$A,$H1391,$B:$B,"&gt;="&amp;INT($B1391),$B:$B,"&lt;"&amp;(INT($B1391)+1)))</f>
        <v/>
      </c>
      <c r="F1391" s="19" t="str">
        <f aca="false">IF($A1391="","",IF(ISNA(MATCH($H1391,Buffers!$AE:$AE,0)),"Not on Buffers",IF(NOT(ISNUMBER($B1391)),"Needs a date",IF(INT($B1391)&lt;PlanDate,"Past due",IF(INT($B1391)=PlanDate,"Due today",IF(AND(INDEX(Buffers!$L:$L,MATCH($H1391,Buffers!$AE:$AE,0))="Planned",$E1391&gt;0,INT($B1391)&lt;=PlanDate+ROUNDUP(IF(ISNUMBER(SpikeHorizon),SpikeHorizon,INDEX(Buffers!$D:$D,MATCH($H1391,Buffers!$AE:$AE,0))),0),$E1391&gt;=SpikePct*INDEX(Buffers!$P:$P,MATCH($H1391,Buffers!$AE:$AE,0))),"Spike","Not qualified"))))))</f>
        <v/>
      </c>
      <c r="G1391" s="8" t="str">
        <f aca="false">IF($A1391="","",IF(OR($F1391="Past due",$F1391="Due today",$F1391="Spike"),$C1391,0))</f>
        <v/>
      </c>
      <c r="H1391" s="8" t="str">
        <f aca="false">IF($A1391="","",SUBSTITUTE(SUBSTITUTE(SUBSTITUTE($A1391&amp;"","~","~~"),"*","~*"),"?","~?"))</f>
        <v/>
      </c>
    </row>
    <row r="1392" customFormat="false" ht="15" hidden="false" customHeight="false" outlineLevel="0" collapsed="false">
      <c r="A1392" s="11"/>
      <c r="B1392" s="6"/>
      <c r="C1392" s="11"/>
      <c r="D1392" s="11"/>
      <c r="E1392" s="8" t="str">
        <f aca="false">IF($A1392="","",SUMIFS($C:$C,$A:$A,$H1392,$B:$B,"&gt;="&amp;INT($B1392),$B:$B,"&lt;"&amp;(INT($B1392)+1)))</f>
        <v/>
      </c>
      <c r="F1392" s="19" t="str">
        <f aca="false">IF($A1392="","",IF(ISNA(MATCH($H1392,Buffers!$AE:$AE,0)),"Not on Buffers",IF(NOT(ISNUMBER($B1392)),"Needs a date",IF(INT($B1392)&lt;PlanDate,"Past due",IF(INT($B1392)=PlanDate,"Due today",IF(AND(INDEX(Buffers!$L:$L,MATCH($H1392,Buffers!$AE:$AE,0))="Planned",$E1392&gt;0,INT($B1392)&lt;=PlanDate+ROUNDUP(IF(ISNUMBER(SpikeHorizon),SpikeHorizon,INDEX(Buffers!$D:$D,MATCH($H1392,Buffers!$AE:$AE,0))),0),$E1392&gt;=SpikePct*INDEX(Buffers!$P:$P,MATCH($H1392,Buffers!$AE:$AE,0))),"Spike","Not qualified"))))))</f>
        <v/>
      </c>
      <c r="G1392" s="8" t="str">
        <f aca="false">IF($A1392="","",IF(OR($F1392="Past due",$F1392="Due today",$F1392="Spike"),$C1392,0))</f>
        <v/>
      </c>
      <c r="H1392" s="8" t="str">
        <f aca="false">IF($A1392="","",SUBSTITUTE(SUBSTITUTE(SUBSTITUTE($A1392&amp;"","~","~~"),"*","~*"),"?","~?"))</f>
        <v/>
      </c>
    </row>
    <row r="1393" customFormat="false" ht="15" hidden="false" customHeight="false" outlineLevel="0" collapsed="false">
      <c r="A1393" s="11"/>
      <c r="B1393" s="6"/>
      <c r="C1393" s="11"/>
      <c r="D1393" s="11"/>
      <c r="E1393" s="8" t="str">
        <f aca="false">IF($A1393="","",SUMIFS($C:$C,$A:$A,$H1393,$B:$B,"&gt;="&amp;INT($B1393),$B:$B,"&lt;"&amp;(INT($B1393)+1)))</f>
        <v/>
      </c>
      <c r="F1393" s="19" t="str">
        <f aca="false">IF($A1393="","",IF(ISNA(MATCH($H1393,Buffers!$AE:$AE,0)),"Not on Buffers",IF(NOT(ISNUMBER($B1393)),"Needs a date",IF(INT($B1393)&lt;PlanDate,"Past due",IF(INT($B1393)=PlanDate,"Due today",IF(AND(INDEX(Buffers!$L:$L,MATCH($H1393,Buffers!$AE:$AE,0))="Planned",$E1393&gt;0,INT($B1393)&lt;=PlanDate+ROUNDUP(IF(ISNUMBER(SpikeHorizon),SpikeHorizon,INDEX(Buffers!$D:$D,MATCH($H1393,Buffers!$AE:$AE,0))),0),$E1393&gt;=SpikePct*INDEX(Buffers!$P:$P,MATCH($H1393,Buffers!$AE:$AE,0))),"Spike","Not qualified"))))))</f>
        <v/>
      </c>
      <c r="G1393" s="8" t="str">
        <f aca="false">IF($A1393="","",IF(OR($F1393="Past due",$F1393="Due today",$F1393="Spike"),$C1393,0))</f>
        <v/>
      </c>
      <c r="H1393" s="8" t="str">
        <f aca="false">IF($A1393="","",SUBSTITUTE(SUBSTITUTE(SUBSTITUTE($A1393&amp;"","~","~~"),"*","~*"),"?","~?"))</f>
        <v/>
      </c>
    </row>
    <row r="1394" customFormat="false" ht="15" hidden="false" customHeight="false" outlineLevel="0" collapsed="false">
      <c r="A1394" s="11"/>
      <c r="B1394" s="6"/>
      <c r="C1394" s="11"/>
      <c r="D1394" s="11"/>
      <c r="E1394" s="8" t="str">
        <f aca="false">IF($A1394="","",SUMIFS($C:$C,$A:$A,$H1394,$B:$B,"&gt;="&amp;INT($B1394),$B:$B,"&lt;"&amp;(INT($B1394)+1)))</f>
        <v/>
      </c>
      <c r="F1394" s="19" t="str">
        <f aca="false">IF($A1394="","",IF(ISNA(MATCH($H1394,Buffers!$AE:$AE,0)),"Not on Buffers",IF(NOT(ISNUMBER($B1394)),"Needs a date",IF(INT($B1394)&lt;PlanDate,"Past due",IF(INT($B1394)=PlanDate,"Due today",IF(AND(INDEX(Buffers!$L:$L,MATCH($H1394,Buffers!$AE:$AE,0))="Planned",$E1394&gt;0,INT($B1394)&lt;=PlanDate+ROUNDUP(IF(ISNUMBER(SpikeHorizon),SpikeHorizon,INDEX(Buffers!$D:$D,MATCH($H1394,Buffers!$AE:$AE,0))),0),$E1394&gt;=SpikePct*INDEX(Buffers!$P:$P,MATCH($H1394,Buffers!$AE:$AE,0))),"Spike","Not qualified"))))))</f>
        <v/>
      </c>
      <c r="G1394" s="8" t="str">
        <f aca="false">IF($A1394="","",IF(OR($F1394="Past due",$F1394="Due today",$F1394="Spike"),$C1394,0))</f>
        <v/>
      </c>
      <c r="H1394" s="8" t="str">
        <f aca="false">IF($A1394="","",SUBSTITUTE(SUBSTITUTE(SUBSTITUTE($A1394&amp;"","~","~~"),"*","~*"),"?","~?"))</f>
        <v/>
      </c>
    </row>
    <row r="1395" customFormat="false" ht="15" hidden="false" customHeight="false" outlineLevel="0" collapsed="false">
      <c r="A1395" s="11"/>
      <c r="B1395" s="6"/>
      <c r="C1395" s="11"/>
      <c r="D1395" s="11"/>
      <c r="E1395" s="8" t="str">
        <f aca="false">IF($A1395="","",SUMIFS($C:$C,$A:$A,$H1395,$B:$B,"&gt;="&amp;INT($B1395),$B:$B,"&lt;"&amp;(INT($B1395)+1)))</f>
        <v/>
      </c>
      <c r="F1395" s="19" t="str">
        <f aca="false">IF($A1395="","",IF(ISNA(MATCH($H1395,Buffers!$AE:$AE,0)),"Not on Buffers",IF(NOT(ISNUMBER($B1395)),"Needs a date",IF(INT($B1395)&lt;PlanDate,"Past due",IF(INT($B1395)=PlanDate,"Due today",IF(AND(INDEX(Buffers!$L:$L,MATCH($H1395,Buffers!$AE:$AE,0))="Planned",$E1395&gt;0,INT($B1395)&lt;=PlanDate+ROUNDUP(IF(ISNUMBER(SpikeHorizon),SpikeHorizon,INDEX(Buffers!$D:$D,MATCH($H1395,Buffers!$AE:$AE,0))),0),$E1395&gt;=SpikePct*INDEX(Buffers!$P:$P,MATCH($H1395,Buffers!$AE:$AE,0))),"Spike","Not qualified"))))))</f>
        <v/>
      </c>
      <c r="G1395" s="8" t="str">
        <f aca="false">IF($A1395="","",IF(OR($F1395="Past due",$F1395="Due today",$F1395="Spike"),$C1395,0))</f>
        <v/>
      </c>
      <c r="H1395" s="8" t="str">
        <f aca="false">IF($A1395="","",SUBSTITUTE(SUBSTITUTE(SUBSTITUTE($A1395&amp;"","~","~~"),"*","~*"),"?","~?"))</f>
        <v/>
      </c>
    </row>
    <row r="1396" customFormat="false" ht="15" hidden="false" customHeight="false" outlineLevel="0" collapsed="false">
      <c r="A1396" s="11"/>
      <c r="B1396" s="6"/>
      <c r="C1396" s="11"/>
      <c r="D1396" s="11"/>
      <c r="E1396" s="8" t="str">
        <f aca="false">IF($A1396="","",SUMIFS($C:$C,$A:$A,$H1396,$B:$B,"&gt;="&amp;INT($B1396),$B:$B,"&lt;"&amp;(INT($B1396)+1)))</f>
        <v/>
      </c>
      <c r="F1396" s="19" t="str">
        <f aca="false">IF($A1396="","",IF(ISNA(MATCH($H1396,Buffers!$AE:$AE,0)),"Not on Buffers",IF(NOT(ISNUMBER($B1396)),"Needs a date",IF(INT($B1396)&lt;PlanDate,"Past due",IF(INT($B1396)=PlanDate,"Due today",IF(AND(INDEX(Buffers!$L:$L,MATCH($H1396,Buffers!$AE:$AE,0))="Planned",$E1396&gt;0,INT($B1396)&lt;=PlanDate+ROUNDUP(IF(ISNUMBER(SpikeHorizon),SpikeHorizon,INDEX(Buffers!$D:$D,MATCH($H1396,Buffers!$AE:$AE,0))),0),$E1396&gt;=SpikePct*INDEX(Buffers!$P:$P,MATCH($H1396,Buffers!$AE:$AE,0))),"Spike","Not qualified"))))))</f>
        <v/>
      </c>
      <c r="G1396" s="8" t="str">
        <f aca="false">IF($A1396="","",IF(OR($F1396="Past due",$F1396="Due today",$F1396="Spike"),$C1396,0))</f>
        <v/>
      </c>
      <c r="H1396" s="8" t="str">
        <f aca="false">IF($A1396="","",SUBSTITUTE(SUBSTITUTE(SUBSTITUTE($A1396&amp;"","~","~~"),"*","~*"),"?","~?"))</f>
        <v/>
      </c>
    </row>
    <row r="1397" customFormat="false" ht="15" hidden="false" customHeight="false" outlineLevel="0" collapsed="false">
      <c r="A1397" s="11"/>
      <c r="B1397" s="6"/>
      <c r="C1397" s="11"/>
      <c r="D1397" s="11"/>
      <c r="E1397" s="8" t="str">
        <f aca="false">IF($A1397="","",SUMIFS($C:$C,$A:$A,$H1397,$B:$B,"&gt;="&amp;INT($B1397),$B:$B,"&lt;"&amp;(INT($B1397)+1)))</f>
        <v/>
      </c>
      <c r="F1397" s="19" t="str">
        <f aca="false">IF($A1397="","",IF(ISNA(MATCH($H1397,Buffers!$AE:$AE,0)),"Not on Buffers",IF(NOT(ISNUMBER($B1397)),"Needs a date",IF(INT($B1397)&lt;PlanDate,"Past due",IF(INT($B1397)=PlanDate,"Due today",IF(AND(INDEX(Buffers!$L:$L,MATCH($H1397,Buffers!$AE:$AE,0))="Planned",$E1397&gt;0,INT($B1397)&lt;=PlanDate+ROUNDUP(IF(ISNUMBER(SpikeHorizon),SpikeHorizon,INDEX(Buffers!$D:$D,MATCH($H1397,Buffers!$AE:$AE,0))),0),$E1397&gt;=SpikePct*INDEX(Buffers!$P:$P,MATCH($H1397,Buffers!$AE:$AE,0))),"Spike","Not qualified"))))))</f>
        <v/>
      </c>
      <c r="G1397" s="8" t="str">
        <f aca="false">IF($A1397="","",IF(OR($F1397="Past due",$F1397="Due today",$F1397="Spike"),$C1397,0))</f>
        <v/>
      </c>
      <c r="H1397" s="8" t="str">
        <f aca="false">IF($A1397="","",SUBSTITUTE(SUBSTITUTE(SUBSTITUTE($A1397&amp;"","~","~~"),"*","~*"),"?","~?"))</f>
        <v/>
      </c>
    </row>
    <row r="1398" customFormat="false" ht="15" hidden="false" customHeight="false" outlineLevel="0" collapsed="false">
      <c r="A1398" s="11"/>
      <c r="B1398" s="6"/>
      <c r="C1398" s="11"/>
      <c r="D1398" s="11"/>
      <c r="E1398" s="8" t="str">
        <f aca="false">IF($A1398="","",SUMIFS($C:$C,$A:$A,$H1398,$B:$B,"&gt;="&amp;INT($B1398),$B:$B,"&lt;"&amp;(INT($B1398)+1)))</f>
        <v/>
      </c>
      <c r="F1398" s="19" t="str">
        <f aca="false">IF($A1398="","",IF(ISNA(MATCH($H1398,Buffers!$AE:$AE,0)),"Not on Buffers",IF(NOT(ISNUMBER($B1398)),"Needs a date",IF(INT($B1398)&lt;PlanDate,"Past due",IF(INT($B1398)=PlanDate,"Due today",IF(AND(INDEX(Buffers!$L:$L,MATCH($H1398,Buffers!$AE:$AE,0))="Planned",$E1398&gt;0,INT($B1398)&lt;=PlanDate+ROUNDUP(IF(ISNUMBER(SpikeHorizon),SpikeHorizon,INDEX(Buffers!$D:$D,MATCH($H1398,Buffers!$AE:$AE,0))),0),$E1398&gt;=SpikePct*INDEX(Buffers!$P:$P,MATCH($H1398,Buffers!$AE:$AE,0))),"Spike","Not qualified"))))))</f>
        <v/>
      </c>
      <c r="G1398" s="8" t="str">
        <f aca="false">IF($A1398="","",IF(OR($F1398="Past due",$F1398="Due today",$F1398="Spike"),$C1398,0))</f>
        <v/>
      </c>
      <c r="H1398" s="8" t="str">
        <f aca="false">IF($A1398="","",SUBSTITUTE(SUBSTITUTE(SUBSTITUTE($A1398&amp;"","~","~~"),"*","~*"),"?","~?"))</f>
        <v/>
      </c>
    </row>
    <row r="1399" customFormat="false" ht="15" hidden="false" customHeight="false" outlineLevel="0" collapsed="false">
      <c r="A1399" s="11"/>
      <c r="B1399" s="6"/>
      <c r="C1399" s="11"/>
      <c r="D1399" s="11"/>
      <c r="E1399" s="8" t="str">
        <f aca="false">IF($A1399="","",SUMIFS($C:$C,$A:$A,$H1399,$B:$B,"&gt;="&amp;INT($B1399),$B:$B,"&lt;"&amp;(INT($B1399)+1)))</f>
        <v/>
      </c>
      <c r="F1399" s="19" t="str">
        <f aca="false">IF($A1399="","",IF(ISNA(MATCH($H1399,Buffers!$AE:$AE,0)),"Not on Buffers",IF(NOT(ISNUMBER($B1399)),"Needs a date",IF(INT($B1399)&lt;PlanDate,"Past due",IF(INT($B1399)=PlanDate,"Due today",IF(AND(INDEX(Buffers!$L:$L,MATCH($H1399,Buffers!$AE:$AE,0))="Planned",$E1399&gt;0,INT($B1399)&lt;=PlanDate+ROUNDUP(IF(ISNUMBER(SpikeHorizon),SpikeHorizon,INDEX(Buffers!$D:$D,MATCH($H1399,Buffers!$AE:$AE,0))),0),$E1399&gt;=SpikePct*INDEX(Buffers!$P:$P,MATCH($H1399,Buffers!$AE:$AE,0))),"Spike","Not qualified"))))))</f>
        <v/>
      </c>
      <c r="G1399" s="8" t="str">
        <f aca="false">IF($A1399="","",IF(OR($F1399="Past due",$F1399="Due today",$F1399="Spike"),$C1399,0))</f>
        <v/>
      </c>
      <c r="H1399" s="8" t="str">
        <f aca="false">IF($A1399="","",SUBSTITUTE(SUBSTITUTE(SUBSTITUTE($A1399&amp;"","~","~~"),"*","~*"),"?","~?"))</f>
        <v/>
      </c>
    </row>
    <row r="1400" customFormat="false" ht="15" hidden="false" customHeight="false" outlineLevel="0" collapsed="false">
      <c r="A1400" s="11"/>
      <c r="B1400" s="6"/>
      <c r="C1400" s="11"/>
      <c r="D1400" s="11"/>
      <c r="E1400" s="8" t="str">
        <f aca="false">IF($A1400="","",SUMIFS($C:$C,$A:$A,$H1400,$B:$B,"&gt;="&amp;INT($B1400),$B:$B,"&lt;"&amp;(INT($B1400)+1)))</f>
        <v/>
      </c>
      <c r="F1400" s="19" t="str">
        <f aca="false">IF($A1400="","",IF(ISNA(MATCH($H1400,Buffers!$AE:$AE,0)),"Not on Buffers",IF(NOT(ISNUMBER($B1400)),"Needs a date",IF(INT($B1400)&lt;PlanDate,"Past due",IF(INT($B1400)=PlanDate,"Due today",IF(AND(INDEX(Buffers!$L:$L,MATCH($H1400,Buffers!$AE:$AE,0))="Planned",$E1400&gt;0,INT($B1400)&lt;=PlanDate+ROUNDUP(IF(ISNUMBER(SpikeHorizon),SpikeHorizon,INDEX(Buffers!$D:$D,MATCH($H1400,Buffers!$AE:$AE,0))),0),$E1400&gt;=SpikePct*INDEX(Buffers!$P:$P,MATCH($H1400,Buffers!$AE:$AE,0))),"Spike","Not qualified"))))))</f>
        <v/>
      </c>
      <c r="G1400" s="8" t="str">
        <f aca="false">IF($A1400="","",IF(OR($F1400="Past due",$F1400="Due today",$F1400="Spike"),$C1400,0))</f>
        <v/>
      </c>
      <c r="H1400" s="8" t="str">
        <f aca="false">IF($A1400="","",SUBSTITUTE(SUBSTITUTE(SUBSTITUTE($A1400&amp;"","~","~~"),"*","~*"),"?","~?"))</f>
        <v/>
      </c>
    </row>
    <row r="1401" customFormat="false" ht="15" hidden="false" customHeight="false" outlineLevel="0" collapsed="false">
      <c r="A1401" s="11"/>
      <c r="B1401" s="6"/>
      <c r="C1401" s="11"/>
      <c r="D1401" s="11"/>
      <c r="E1401" s="8" t="str">
        <f aca="false">IF($A1401="","",SUMIFS($C:$C,$A:$A,$H1401,$B:$B,"&gt;="&amp;INT($B1401),$B:$B,"&lt;"&amp;(INT($B1401)+1)))</f>
        <v/>
      </c>
      <c r="F1401" s="19" t="str">
        <f aca="false">IF($A1401="","",IF(ISNA(MATCH($H1401,Buffers!$AE:$AE,0)),"Not on Buffers",IF(NOT(ISNUMBER($B1401)),"Needs a date",IF(INT($B1401)&lt;PlanDate,"Past due",IF(INT($B1401)=PlanDate,"Due today",IF(AND(INDEX(Buffers!$L:$L,MATCH($H1401,Buffers!$AE:$AE,0))="Planned",$E1401&gt;0,INT($B1401)&lt;=PlanDate+ROUNDUP(IF(ISNUMBER(SpikeHorizon),SpikeHorizon,INDEX(Buffers!$D:$D,MATCH($H1401,Buffers!$AE:$AE,0))),0),$E1401&gt;=SpikePct*INDEX(Buffers!$P:$P,MATCH($H1401,Buffers!$AE:$AE,0))),"Spike","Not qualified"))))))</f>
        <v/>
      </c>
      <c r="G1401" s="8" t="str">
        <f aca="false">IF($A1401="","",IF(OR($F1401="Past due",$F1401="Due today",$F1401="Spike"),$C1401,0))</f>
        <v/>
      </c>
      <c r="H1401" s="8" t="str">
        <f aca="false">IF($A1401="","",SUBSTITUTE(SUBSTITUTE(SUBSTITUTE($A1401&amp;"","~","~~"),"*","~*"),"?","~?"))</f>
        <v/>
      </c>
    </row>
    <row r="1402" customFormat="false" ht="15" hidden="false" customHeight="false" outlineLevel="0" collapsed="false">
      <c r="A1402" s="11"/>
      <c r="B1402" s="6"/>
      <c r="C1402" s="11"/>
      <c r="D1402" s="11"/>
      <c r="E1402" s="8" t="str">
        <f aca="false">IF($A1402="","",SUMIFS($C:$C,$A:$A,$H1402,$B:$B,"&gt;="&amp;INT($B1402),$B:$B,"&lt;"&amp;(INT($B1402)+1)))</f>
        <v/>
      </c>
      <c r="F1402" s="19" t="str">
        <f aca="false">IF($A1402="","",IF(ISNA(MATCH($H1402,Buffers!$AE:$AE,0)),"Not on Buffers",IF(NOT(ISNUMBER($B1402)),"Needs a date",IF(INT($B1402)&lt;PlanDate,"Past due",IF(INT($B1402)=PlanDate,"Due today",IF(AND(INDEX(Buffers!$L:$L,MATCH($H1402,Buffers!$AE:$AE,0))="Planned",$E1402&gt;0,INT($B1402)&lt;=PlanDate+ROUNDUP(IF(ISNUMBER(SpikeHorizon),SpikeHorizon,INDEX(Buffers!$D:$D,MATCH($H1402,Buffers!$AE:$AE,0))),0),$E1402&gt;=SpikePct*INDEX(Buffers!$P:$P,MATCH($H1402,Buffers!$AE:$AE,0))),"Spike","Not qualified"))))))</f>
        <v/>
      </c>
      <c r="G1402" s="8" t="str">
        <f aca="false">IF($A1402="","",IF(OR($F1402="Past due",$F1402="Due today",$F1402="Spike"),$C1402,0))</f>
        <v/>
      </c>
      <c r="H1402" s="8" t="str">
        <f aca="false">IF($A1402="","",SUBSTITUTE(SUBSTITUTE(SUBSTITUTE($A1402&amp;"","~","~~"),"*","~*"),"?","~?"))</f>
        <v/>
      </c>
    </row>
    <row r="1403" customFormat="false" ht="15" hidden="false" customHeight="false" outlineLevel="0" collapsed="false">
      <c r="A1403" s="11"/>
      <c r="B1403" s="6"/>
      <c r="C1403" s="11"/>
      <c r="D1403" s="11"/>
      <c r="E1403" s="8" t="str">
        <f aca="false">IF($A1403="","",SUMIFS($C:$C,$A:$A,$H1403,$B:$B,"&gt;="&amp;INT($B1403),$B:$B,"&lt;"&amp;(INT($B1403)+1)))</f>
        <v/>
      </c>
      <c r="F1403" s="19" t="str">
        <f aca="false">IF($A1403="","",IF(ISNA(MATCH($H1403,Buffers!$AE:$AE,0)),"Not on Buffers",IF(NOT(ISNUMBER($B1403)),"Needs a date",IF(INT($B1403)&lt;PlanDate,"Past due",IF(INT($B1403)=PlanDate,"Due today",IF(AND(INDEX(Buffers!$L:$L,MATCH($H1403,Buffers!$AE:$AE,0))="Planned",$E1403&gt;0,INT($B1403)&lt;=PlanDate+ROUNDUP(IF(ISNUMBER(SpikeHorizon),SpikeHorizon,INDEX(Buffers!$D:$D,MATCH($H1403,Buffers!$AE:$AE,0))),0),$E1403&gt;=SpikePct*INDEX(Buffers!$P:$P,MATCH($H1403,Buffers!$AE:$AE,0))),"Spike","Not qualified"))))))</f>
        <v/>
      </c>
      <c r="G1403" s="8" t="str">
        <f aca="false">IF($A1403="","",IF(OR($F1403="Past due",$F1403="Due today",$F1403="Spike"),$C1403,0))</f>
        <v/>
      </c>
      <c r="H1403" s="8" t="str">
        <f aca="false">IF($A1403="","",SUBSTITUTE(SUBSTITUTE(SUBSTITUTE($A1403&amp;"","~","~~"),"*","~*"),"?","~?"))</f>
        <v/>
      </c>
    </row>
    <row r="1404" customFormat="false" ht="15" hidden="false" customHeight="false" outlineLevel="0" collapsed="false">
      <c r="A1404" s="11"/>
      <c r="B1404" s="6"/>
      <c r="C1404" s="11"/>
      <c r="D1404" s="11"/>
      <c r="E1404" s="8" t="str">
        <f aca="false">IF($A1404="","",SUMIFS($C:$C,$A:$A,$H1404,$B:$B,"&gt;="&amp;INT($B1404),$B:$B,"&lt;"&amp;(INT($B1404)+1)))</f>
        <v/>
      </c>
      <c r="F1404" s="19" t="str">
        <f aca="false">IF($A1404="","",IF(ISNA(MATCH($H1404,Buffers!$AE:$AE,0)),"Not on Buffers",IF(NOT(ISNUMBER($B1404)),"Needs a date",IF(INT($B1404)&lt;PlanDate,"Past due",IF(INT($B1404)=PlanDate,"Due today",IF(AND(INDEX(Buffers!$L:$L,MATCH($H1404,Buffers!$AE:$AE,0))="Planned",$E1404&gt;0,INT($B1404)&lt;=PlanDate+ROUNDUP(IF(ISNUMBER(SpikeHorizon),SpikeHorizon,INDEX(Buffers!$D:$D,MATCH($H1404,Buffers!$AE:$AE,0))),0),$E1404&gt;=SpikePct*INDEX(Buffers!$P:$P,MATCH($H1404,Buffers!$AE:$AE,0))),"Spike","Not qualified"))))))</f>
        <v/>
      </c>
      <c r="G1404" s="8" t="str">
        <f aca="false">IF($A1404="","",IF(OR($F1404="Past due",$F1404="Due today",$F1404="Spike"),$C1404,0))</f>
        <v/>
      </c>
      <c r="H1404" s="8" t="str">
        <f aca="false">IF($A1404="","",SUBSTITUTE(SUBSTITUTE(SUBSTITUTE($A1404&amp;"","~","~~"),"*","~*"),"?","~?"))</f>
        <v/>
      </c>
    </row>
    <row r="1405" customFormat="false" ht="15" hidden="false" customHeight="false" outlineLevel="0" collapsed="false">
      <c r="A1405" s="11"/>
      <c r="B1405" s="6"/>
      <c r="C1405" s="11"/>
      <c r="D1405" s="11"/>
      <c r="E1405" s="8" t="str">
        <f aca="false">IF($A1405="","",SUMIFS($C:$C,$A:$A,$H1405,$B:$B,"&gt;="&amp;INT($B1405),$B:$B,"&lt;"&amp;(INT($B1405)+1)))</f>
        <v/>
      </c>
      <c r="F1405" s="19" t="str">
        <f aca="false">IF($A1405="","",IF(ISNA(MATCH($H1405,Buffers!$AE:$AE,0)),"Not on Buffers",IF(NOT(ISNUMBER($B1405)),"Needs a date",IF(INT($B1405)&lt;PlanDate,"Past due",IF(INT($B1405)=PlanDate,"Due today",IF(AND(INDEX(Buffers!$L:$L,MATCH($H1405,Buffers!$AE:$AE,0))="Planned",$E1405&gt;0,INT($B1405)&lt;=PlanDate+ROUNDUP(IF(ISNUMBER(SpikeHorizon),SpikeHorizon,INDEX(Buffers!$D:$D,MATCH($H1405,Buffers!$AE:$AE,0))),0),$E1405&gt;=SpikePct*INDEX(Buffers!$P:$P,MATCH($H1405,Buffers!$AE:$AE,0))),"Spike","Not qualified"))))))</f>
        <v/>
      </c>
      <c r="G1405" s="8" t="str">
        <f aca="false">IF($A1405="","",IF(OR($F1405="Past due",$F1405="Due today",$F1405="Spike"),$C1405,0))</f>
        <v/>
      </c>
      <c r="H1405" s="8" t="str">
        <f aca="false">IF($A1405="","",SUBSTITUTE(SUBSTITUTE(SUBSTITUTE($A1405&amp;"","~","~~"),"*","~*"),"?","~?"))</f>
        <v/>
      </c>
    </row>
    <row r="1406" customFormat="false" ht="15" hidden="false" customHeight="false" outlineLevel="0" collapsed="false">
      <c r="A1406" s="11"/>
      <c r="B1406" s="6"/>
      <c r="C1406" s="11"/>
      <c r="D1406" s="11"/>
      <c r="E1406" s="8" t="str">
        <f aca="false">IF($A1406="","",SUMIFS($C:$C,$A:$A,$H1406,$B:$B,"&gt;="&amp;INT($B1406),$B:$B,"&lt;"&amp;(INT($B1406)+1)))</f>
        <v/>
      </c>
      <c r="F1406" s="19" t="str">
        <f aca="false">IF($A1406="","",IF(ISNA(MATCH($H1406,Buffers!$AE:$AE,0)),"Not on Buffers",IF(NOT(ISNUMBER($B1406)),"Needs a date",IF(INT($B1406)&lt;PlanDate,"Past due",IF(INT($B1406)=PlanDate,"Due today",IF(AND(INDEX(Buffers!$L:$L,MATCH($H1406,Buffers!$AE:$AE,0))="Planned",$E1406&gt;0,INT($B1406)&lt;=PlanDate+ROUNDUP(IF(ISNUMBER(SpikeHorizon),SpikeHorizon,INDEX(Buffers!$D:$D,MATCH($H1406,Buffers!$AE:$AE,0))),0),$E1406&gt;=SpikePct*INDEX(Buffers!$P:$P,MATCH($H1406,Buffers!$AE:$AE,0))),"Spike","Not qualified"))))))</f>
        <v/>
      </c>
      <c r="G1406" s="8" t="str">
        <f aca="false">IF($A1406="","",IF(OR($F1406="Past due",$F1406="Due today",$F1406="Spike"),$C1406,0))</f>
        <v/>
      </c>
      <c r="H1406" s="8" t="str">
        <f aca="false">IF($A1406="","",SUBSTITUTE(SUBSTITUTE(SUBSTITUTE($A1406&amp;"","~","~~"),"*","~*"),"?","~?"))</f>
        <v/>
      </c>
    </row>
    <row r="1407" customFormat="false" ht="15" hidden="false" customHeight="false" outlineLevel="0" collapsed="false">
      <c r="A1407" s="11"/>
      <c r="B1407" s="6"/>
      <c r="C1407" s="11"/>
      <c r="D1407" s="11"/>
      <c r="E1407" s="8" t="str">
        <f aca="false">IF($A1407="","",SUMIFS($C:$C,$A:$A,$H1407,$B:$B,"&gt;="&amp;INT($B1407),$B:$B,"&lt;"&amp;(INT($B1407)+1)))</f>
        <v/>
      </c>
      <c r="F1407" s="19" t="str">
        <f aca="false">IF($A1407="","",IF(ISNA(MATCH($H1407,Buffers!$AE:$AE,0)),"Not on Buffers",IF(NOT(ISNUMBER($B1407)),"Needs a date",IF(INT($B1407)&lt;PlanDate,"Past due",IF(INT($B1407)=PlanDate,"Due today",IF(AND(INDEX(Buffers!$L:$L,MATCH($H1407,Buffers!$AE:$AE,0))="Planned",$E1407&gt;0,INT($B1407)&lt;=PlanDate+ROUNDUP(IF(ISNUMBER(SpikeHorizon),SpikeHorizon,INDEX(Buffers!$D:$D,MATCH($H1407,Buffers!$AE:$AE,0))),0),$E1407&gt;=SpikePct*INDEX(Buffers!$P:$P,MATCH($H1407,Buffers!$AE:$AE,0))),"Spike","Not qualified"))))))</f>
        <v/>
      </c>
      <c r="G1407" s="8" t="str">
        <f aca="false">IF($A1407="","",IF(OR($F1407="Past due",$F1407="Due today",$F1407="Spike"),$C1407,0))</f>
        <v/>
      </c>
      <c r="H1407" s="8" t="str">
        <f aca="false">IF($A1407="","",SUBSTITUTE(SUBSTITUTE(SUBSTITUTE($A1407&amp;"","~","~~"),"*","~*"),"?","~?"))</f>
        <v/>
      </c>
    </row>
    <row r="1408" customFormat="false" ht="15" hidden="false" customHeight="false" outlineLevel="0" collapsed="false">
      <c r="A1408" s="11"/>
      <c r="B1408" s="6"/>
      <c r="C1408" s="11"/>
      <c r="D1408" s="11"/>
      <c r="E1408" s="8" t="str">
        <f aca="false">IF($A1408="","",SUMIFS($C:$C,$A:$A,$H1408,$B:$B,"&gt;="&amp;INT($B1408),$B:$B,"&lt;"&amp;(INT($B1408)+1)))</f>
        <v/>
      </c>
      <c r="F1408" s="19" t="str">
        <f aca="false">IF($A1408="","",IF(ISNA(MATCH($H1408,Buffers!$AE:$AE,0)),"Not on Buffers",IF(NOT(ISNUMBER($B1408)),"Needs a date",IF(INT($B1408)&lt;PlanDate,"Past due",IF(INT($B1408)=PlanDate,"Due today",IF(AND(INDEX(Buffers!$L:$L,MATCH($H1408,Buffers!$AE:$AE,0))="Planned",$E1408&gt;0,INT($B1408)&lt;=PlanDate+ROUNDUP(IF(ISNUMBER(SpikeHorizon),SpikeHorizon,INDEX(Buffers!$D:$D,MATCH($H1408,Buffers!$AE:$AE,0))),0),$E1408&gt;=SpikePct*INDEX(Buffers!$P:$P,MATCH($H1408,Buffers!$AE:$AE,0))),"Spike","Not qualified"))))))</f>
        <v/>
      </c>
      <c r="G1408" s="8" t="str">
        <f aca="false">IF($A1408="","",IF(OR($F1408="Past due",$F1408="Due today",$F1408="Spike"),$C1408,0))</f>
        <v/>
      </c>
      <c r="H1408" s="8" t="str">
        <f aca="false">IF($A1408="","",SUBSTITUTE(SUBSTITUTE(SUBSTITUTE($A1408&amp;"","~","~~"),"*","~*"),"?","~?"))</f>
        <v/>
      </c>
    </row>
    <row r="1409" customFormat="false" ht="15" hidden="false" customHeight="false" outlineLevel="0" collapsed="false">
      <c r="A1409" s="11"/>
      <c r="B1409" s="6"/>
      <c r="C1409" s="11"/>
      <c r="D1409" s="11"/>
      <c r="E1409" s="8" t="str">
        <f aca="false">IF($A1409="","",SUMIFS($C:$C,$A:$A,$H1409,$B:$B,"&gt;="&amp;INT($B1409),$B:$B,"&lt;"&amp;(INT($B1409)+1)))</f>
        <v/>
      </c>
      <c r="F1409" s="19" t="str">
        <f aca="false">IF($A1409="","",IF(ISNA(MATCH($H1409,Buffers!$AE:$AE,0)),"Not on Buffers",IF(NOT(ISNUMBER($B1409)),"Needs a date",IF(INT($B1409)&lt;PlanDate,"Past due",IF(INT($B1409)=PlanDate,"Due today",IF(AND(INDEX(Buffers!$L:$L,MATCH($H1409,Buffers!$AE:$AE,0))="Planned",$E1409&gt;0,INT($B1409)&lt;=PlanDate+ROUNDUP(IF(ISNUMBER(SpikeHorizon),SpikeHorizon,INDEX(Buffers!$D:$D,MATCH($H1409,Buffers!$AE:$AE,0))),0),$E1409&gt;=SpikePct*INDEX(Buffers!$P:$P,MATCH($H1409,Buffers!$AE:$AE,0))),"Spike","Not qualified"))))))</f>
        <v/>
      </c>
      <c r="G1409" s="8" t="str">
        <f aca="false">IF($A1409="","",IF(OR($F1409="Past due",$F1409="Due today",$F1409="Spike"),$C1409,0))</f>
        <v/>
      </c>
      <c r="H1409" s="8" t="str">
        <f aca="false">IF($A1409="","",SUBSTITUTE(SUBSTITUTE(SUBSTITUTE($A1409&amp;"","~","~~"),"*","~*"),"?","~?"))</f>
        <v/>
      </c>
    </row>
    <row r="1410" customFormat="false" ht="15" hidden="false" customHeight="false" outlineLevel="0" collapsed="false">
      <c r="A1410" s="11"/>
      <c r="B1410" s="6"/>
      <c r="C1410" s="11"/>
      <c r="D1410" s="11"/>
      <c r="E1410" s="8" t="str">
        <f aca="false">IF($A1410="","",SUMIFS($C:$C,$A:$A,$H1410,$B:$B,"&gt;="&amp;INT($B1410),$B:$B,"&lt;"&amp;(INT($B1410)+1)))</f>
        <v/>
      </c>
      <c r="F1410" s="19" t="str">
        <f aca="false">IF($A1410="","",IF(ISNA(MATCH($H1410,Buffers!$AE:$AE,0)),"Not on Buffers",IF(NOT(ISNUMBER($B1410)),"Needs a date",IF(INT($B1410)&lt;PlanDate,"Past due",IF(INT($B1410)=PlanDate,"Due today",IF(AND(INDEX(Buffers!$L:$L,MATCH($H1410,Buffers!$AE:$AE,0))="Planned",$E1410&gt;0,INT($B1410)&lt;=PlanDate+ROUNDUP(IF(ISNUMBER(SpikeHorizon),SpikeHorizon,INDEX(Buffers!$D:$D,MATCH($H1410,Buffers!$AE:$AE,0))),0),$E1410&gt;=SpikePct*INDEX(Buffers!$P:$P,MATCH($H1410,Buffers!$AE:$AE,0))),"Spike","Not qualified"))))))</f>
        <v/>
      </c>
      <c r="G1410" s="8" t="str">
        <f aca="false">IF($A1410="","",IF(OR($F1410="Past due",$F1410="Due today",$F1410="Spike"),$C1410,0))</f>
        <v/>
      </c>
      <c r="H1410" s="8" t="str">
        <f aca="false">IF($A1410="","",SUBSTITUTE(SUBSTITUTE(SUBSTITUTE($A1410&amp;"","~","~~"),"*","~*"),"?","~?"))</f>
        <v/>
      </c>
    </row>
    <row r="1411" customFormat="false" ht="15" hidden="false" customHeight="false" outlineLevel="0" collapsed="false">
      <c r="A1411" s="11"/>
      <c r="B1411" s="6"/>
      <c r="C1411" s="11"/>
      <c r="D1411" s="11"/>
      <c r="E1411" s="8" t="str">
        <f aca="false">IF($A1411="","",SUMIFS($C:$C,$A:$A,$H1411,$B:$B,"&gt;="&amp;INT($B1411),$B:$B,"&lt;"&amp;(INT($B1411)+1)))</f>
        <v/>
      </c>
      <c r="F1411" s="19" t="str">
        <f aca="false">IF($A1411="","",IF(ISNA(MATCH($H1411,Buffers!$AE:$AE,0)),"Not on Buffers",IF(NOT(ISNUMBER($B1411)),"Needs a date",IF(INT($B1411)&lt;PlanDate,"Past due",IF(INT($B1411)=PlanDate,"Due today",IF(AND(INDEX(Buffers!$L:$L,MATCH($H1411,Buffers!$AE:$AE,0))="Planned",$E1411&gt;0,INT($B1411)&lt;=PlanDate+ROUNDUP(IF(ISNUMBER(SpikeHorizon),SpikeHorizon,INDEX(Buffers!$D:$D,MATCH($H1411,Buffers!$AE:$AE,0))),0),$E1411&gt;=SpikePct*INDEX(Buffers!$P:$P,MATCH($H1411,Buffers!$AE:$AE,0))),"Spike","Not qualified"))))))</f>
        <v/>
      </c>
      <c r="G1411" s="8" t="str">
        <f aca="false">IF($A1411="","",IF(OR($F1411="Past due",$F1411="Due today",$F1411="Spike"),$C1411,0))</f>
        <v/>
      </c>
      <c r="H1411" s="8" t="str">
        <f aca="false">IF($A1411="","",SUBSTITUTE(SUBSTITUTE(SUBSTITUTE($A1411&amp;"","~","~~"),"*","~*"),"?","~?"))</f>
        <v/>
      </c>
    </row>
    <row r="1412" customFormat="false" ht="15" hidden="false" customHeight="false" outlineLevel="0" collapsed="false">
      <c r="A1412" s="11"/>
      <c r="B1412" s="6"/>
      <c r="C1412" s="11"/>
      <c r="D1412" s="11"/>
      <c r="E1412" s="8" t="str">
        <f aca="false">IF($A1412="","",SUMIFS($C:$C,$A:$A,$H1412,$B:$B,"&gt;="&amp;INT($B1412),$B:$B,"&lt;"&amp;(INT($B1412)+1)))</f>
        <v/>
      </c>
      <c r="F1412" s="19" t="str">
        <f aca="false">IF($A1412="","",IF(ISNA(MATCH($H1412,Buffers!$AE:$AE,0)),"Not on Buffers",IF(NOT(ISNUMBER($B1412)),"Needs a date",IF(INT($B1412)&lt;PlanDate,"Past due",IF(INT($B1412)=PlanDate,"Due today",IF(AND(INDEX(Buffers!$L:$L,MATCH($H1412,Buffers!$AE:$AE,0))="Planned",$E1412&gt;0,INT($B1412)&lt;=PlanDate+ROUNDUP(IF(ISNUMBER(SpikeHorizon),SpikeHorizon,INDEX(Buffers!$D:$D,MATCH($H1412,Buffers!$AE:$AE,0))),0),$E1412&gt;=SpikePct*INDEX(Buffers!$P:$P,MATCH($H1412,Buffers!$AE:$AE,0))),"Spike","Not qualified"))))))</f>
        <v/>
      </c>
      <c r="G1412" s="8" t="str">
        <f aca="false">IF($A1412="","",IF(OR($F1412="Past due",$F1412="Due today",$F1412="Spike"),$C1412,0))</f>
        <v/>
      </c>
      <c r="H1412" s="8" t="str">
        <f aca="false">IF($A1412="","",SUBSTITUTE(SUBSTITUTE(SUBSTITUTE($A1412&amp;"","~","~~"),"*","~*"),"?","~?"))</f>
        <v/>
      </c>
    </row>
    <row r="1413" customFormat="false" ht="15" hidden="false" customHeight="false" outlineLevel="0" collapsed="false">
      <c r="A1413" s="11"/>
      <c r="B1413" s="6"/>
      <c r="C1413" s="11"/>
      <c r="D1413" s="11"/>
      <c r="E1413" s="8" t="str">
        <f aca="false">IF($A1413="","",SUMIFS($C:$C,$A:$A,$H1413,$B:$B,"&gt;="&amp;INT($B1413),$B:$B,"&lt;"&amp;(INT($B1413)+1)))</f>
        <v/>
      </c>
      <c r="F1413" s="19" t="str">
        <f aca="false">IF($A1413="","",IF(ISNA(MATCH($H1413,Buffers!$AE:$AE,0)),"Not on Buffers",IF(NOT(ISNUMBER($B1413)),"Needs a date",IF(INT($B1413)&lt;PlanDate,"Past due",IF(INT($B1413)=PlanDate,"Due today",IF(AND(INDEX(Buffers!$L:$L,MATCH($H1413,Buffers!$AE:$AE,0))="Planned",$E1413&gt;0,INT($B1413)&lt;=PlanDate+ROUNDUP(IF(ISNUMBER(SpikeHorizon),SpikeHorizon,INDEX(Buffers!$D:$D,MATCH($H1413,Buffers!$AE:$AE,0))),0),$E1413&gt;=SpikePct*INDEX(Buffers!$P:$P,MATCH($H1413,Buffers!$AE:$AE,0))),"Spike","Not qualified"))))))</f>
        <v/>
      </c>
      <c r="G1413" s="8" t="str">
        <f aca="false">IF($A1413="","",IF(OR($F1413="Past due",$F1413="Due today",$F1413="Spike"),$C1413,0))</f>
        <v/>
      </c>
      <c r="H1413" s="8" t="str">
        <f aca="false">IF($A1413="","",SUBSTITUTE(SUBSTITUTE(SUBSTITUTE($A1413&amp;"","~","~~"),"*","~*"),"?","~?"))</f>
        <v/>
      </c>
    </row>
    <row r="1414" customFormat="false" ht="15" hidden="false" customHeight="false" outlineLevel="0" collapsed="false">
      <c r="A1414" s="11"/>
      <c r="B1414" s="6"/>
      <c r="C1414" s="11"/>
      <c r="D1414" s="11"/>
      <c r="E1414" s="8" t="str">
        <f aca="false">IF($A1414="","",SUMIFS($C:$C,$A:$A,$H1414,$B:$B,"&gt;="&amp;INT($B1414),$B:$B,"&lt;"&amp;(INT($B1414)+1)))</f>
        <v/>
      </c>
      <c r="F1414" s="19" t="str">
        <f aca="false">IF($A1414="","",IF(ISNA(MATCH($H1414,Buffers!$AE:$AE,0)),"Not on Buffers",IF(NOT(ISNUMBER($B1414)),"Needs a date",IF(INT($B1414)&lt;PlanDate,"Past due",IF(INT($B1414)=PlanDate,"Due today",IF(AND(INDEX(Buffers!$L:$L,MATCH($H1414,Buffers!$AE:$AE,0))="Planned",$E1414&gt;0,INT($B1414)&lt;=PlanDate+ROUNDUP(IF(ISNUMBER(SpikeHorizon),SpikeHorizon,INDEX(Buffers!$D:$D,MATCH($H1414,Buffers!$AE:$AE,0))),0),$E1414&gt;=SpikePct*INDEX(Buffers!$P:$P,MATCH($H1414,Buffers!$AE:$AE,0))),"Spike","Not qualified"))))))</f>
        <v/>
      </c>
      <c r="G1414" s="8" t="str">
        <f aca="false">IF($A1414="","",IF(OR($F1414="Past due",$F1414="Due today",$F1414="Spike"),$C1414,0))</f>
        <v/>
      </c>
      <c r="H1414" s="8" t="str">
        <f aca="false">IF($A1414="","",SUBSTITUTE(SUBSTITUTE(SUBSTITUTE($A1414&amp;"","~","~~"),"*","~*"),"?","~?"))</f>
        <v/>
      </c>
    </row>
    <row r="1415" customFormat="false" ht="15" hidden="false" customHeight="false" outlineLevel="0" collapsed="false">
      <c r="A1415" s="11"/>
      <c r="B1415" s="6"/>
      <c r="C1415" s="11"/>
      <c r="D1415" s="11"/>
      <c r="E1415" s="8" t="str">
        <f aca="false">IF($A1415="","",SUMIFS($C:$C,$A:$A,$H1415,$B:$B,"&gt;="&amp;INT($B1415),$B:$B,"&lt;"&amp;(INT($B1415)+1)))</f>
        <v/>
      </c>
      <c r="F1415" s="19" t="str">
        <f aca="false">IF($A1415="","",IF(ISNA(MATCH($H1415,Buffers!$AE:$AE,0)),"Not on Buffers",IF(NOT(ISNUMBER($B1415)),"Needs a date",IF(INT($B1415)&lt;PlanDate,"Past due",IF(INT($B1415)=PlanDate,"Due today",IF(AND(INDEX(Buffers!$L:$L,MATCH($H1415,Buffers!$AE:$AE,0))="Planned",$E1415&gt;0,INT($B1415)&lt;=PlanDate+ROUNDUP(IF(ISNUMBER(SpikeHorizon),SpikeHorizon,INDEX(Buffers!$D:$D,MATCH($H1415,Buffers!$AE:$AE,0))),0),$E1415&gt;=SpikePct*INDEX(Buffers!$P:$P,MATCH($H1415,Buffers!$AE:$AE,0))),"Spike","Not qualified"))))))</f>
        <v/>
      </c>
      <c r="G1415" s="8" t="str">
        <f aca="false">IF($A1415="","",IF(OR($F1415="Past due",$F1415="Due today",$F1415="Spike"),$C1415,0))</f>
        <v/>
      </c>
      <c r="H1415" s="8" t="str">
        <f aca="false">IF($A1415="","",SUBSTITUTE(SUBSTITUTE(SUBSTITUTE($A1415&amp;"","~","~~"),"*","~*"),"?","~?"))</f>
        <v/>
      </c>
    </row>
    <row r="1416" customFormat="false" ht="15" hidden="false" customHeight="false" outlineLevel="0" collapsed="false">
      <c r="A1416" s="11"/>
      <c r="B1416" s="6"/>
      <c r="C1416" s="11"/>
      <c r="D1416" s="11"/>
      <c r="E1416" s="8" t="str">
        <f aca="false">IF($A1416="","",SUMIFS($C:$C,$A:$A,$H1416,$B:$B,"&gt;="&amp;INT($B1416),$B:$B,"&lt;"&amp;(INT($B1416)+1)))</f>
        <v/>
      </c>
      <c r="F1416" s="19" t="str">
        <f aca="false">IF($A1416="","",IF(ISNA(MATCH($H1416,Buffers!$AE:$AE,0)),"Not on Buffers",IF(NOT(ISNUMBER($B1416)),"Needs a date",IF(INT($B1416)&lt;PlanDate,"Past due",IF(INT($B1416)=PlanDate,"Due today",IF(AND(INDEX(Buffers!$L:$L,MATCH($H1416,Buffers!$AE:$AE,0))="Planned",$E1416&gt;0,INT($B1416)&lt;=PlanDate+ROUNDUP(IF(ISNUMBER(SpikeHorizon),SpikeHorizon,INDEX(Buffers!$D:$D,MATCH($H1416,Buffers!$AE:$AE,0))),0),$E1416&gt;=SpikePct*INDEX(Buffers!$P:$P,MATCH($H1416,Buffers!$AE:$AE,0))),"Spike","Not qualified"))))))</f>
        <v/>
      </c>
      <c r="G1416" s="8" t="str">
        <f aca="false">IF($A1416="","",IF(OR($F1416="Past due",$F1416="Due today",$F1416="Spike"),$C1416,0))</f>
        <v/>
      </c>
      <c r="H1416" s="8" t="str">
        <f aca="false">IF($A1416="","",SUBSTITUTE(SUBSTITUTE(SUBSTITUTE($A1416&amp;"","~","~~"),"*","~*"),"?","~?"))</f>
        <v/>
      </c>
    </row>
    <row r="1417" customFormat="false" ht="15" hidden="false" customHeight="false" outlineLevel="0" collapsed="false">
      <c r="A1417" s="11"/>
      <c r="B1417" s="6"/>
      <c r="C1417" s="11"/>
      <c r="D1417" s="11"/>
      <c r="E1417" s="8" t="str">
        <f aca="false">IF($A1417="","",SUMIFS($C:$C,$A:$A,$H1417,$B:$B,"&gt;="&amp;INT($B1417),$B:$B,"&lt;"&amp;(INT($B1417)+1)))</f>
        <v/>
      </c>
      <c r="F1417" s="19" t="str">
        <f aca="false">IF($A1417="","",IF(ISNA(MATCH($H1417,Buffers!$AE:$AE,0)),"Not on Buffers",IF(NOT(ISNUMBER($B1417)),"Needs a date",IF(INT($B1417)&lt;PlanDate,"Past due",IF(INT($B1417)=PlanDate,"Due today",IF(AND(INDEX(Buffers!$L:$L,MATCH($H1417,Buffers!$AE:$AE,0))="Planned",$E1417&gt;0,INT($B1417)&lt;=PlanDate+ROUNDUP(IF(ISNUMBER(SpikeHorizon),SpikeHorizon,INDEX(Buffers!$D:$D,MATCH($H1417,Buffers!$AE:$AE,0))),0),$E1417&gt;=SpikePct*INDEX(Buffers!$P:$P,MATCH($H1417,Buffers!$AE:$AE,0))),"Spike","Not qualified"))))))</f>
        <v/>
      </c>
      <c r="G1417" s="8" t="str">
        <f aca="false">IF($A1417="","",IF(OR($F1417="Past due",$F1417="Due today",$F1417="Spike"),$C1417,0))</f>
        <v/>
      </c>
      <c r="H1417" s="8" t="str">
        <f aca="false">IF($A1417="","",SUBSTITUTE(SUBSTITUTE(SUBSTITUTE($A1417&amp;"","~","~~"),"*","~*"),"?","~?"))</f>
        <v/>
      </c>
    </row>
    <row r="1418" customFormat="false" ht="15" hidden="false" customHeight="false" outlineLevel="0" collapsed="false">
      <c r="A1418" s="11"/>
      <c r="B1418" s="6"/>
      <c r="C1418" s="11"/>
      <c r="D1418" s="11"/>
      <c r="E1418" s="8" t="str">
        <f aca="false">IF($A1418="","",SUMIFS($C:$C,$A:$A,$H1418,$B:$B,"&gt;="&amp;INT($B1418),$B:$B,"&lt;"&amp;(INT($B1418)+1)))</f>
        <v/>
      </c>
      <c r="F1418" s="19" t="str">
        <f aca="false">IF($A1418="","",IF(ISNA(MATCH($H1418,Buffers!$AE:$AE,0)),"Not on Buffers",IF(NOT(ISNUMBER($B1418)),"Needs a date",IF(INT($B1418)&lt;PlanDate,"Past due",IF(INT($B1418)=PlanDate,"Due today",IF(AND(INDEX(Buffers!$L:$L,MATCH($H1418,Buffers!$AE:$AE,0))="Planned",$E1418&gt;0,INT($B1418)&lt;=PlanDate+ROUNDUP(IF(ISNUMBER(SpikeHorizon),SpikeHorizon,INDEX(Buffers!$D:$D,MATCH($H1418,Buffers!$AE:$AE,0))),0),$E1418&gt;=SpikePct*INDEX(Buffers!$P:$P,MATCH($H1418,Buffers!$AE:$AE,0))),"Spike","Not qualified"))))))</f>
        <v/>
      </c>
      <c r="G1418" s="8" t="str">
        <f aca="false">IF($A1418="","",IF(OR($F1418="Past due",$F1418="Due today",$F1418="Spike"),$C1418,0))</f>
        <v/>
      </c>
      <c r="H1418" s="8" t="str">
        <f aca="false">IF($A1418="","",SUBSTITUTE(SUBSTITUTE(SUBSTITUTE($A1418&amp;"","~","~~"),"*","~*"),"?","~?"))</f>
        <v/>
      </c>
    </row>
    <row r="1419" customFormat="false" ht="15" hidden="false" customHeight="false" outlineLevel="0" collapsed="false">
      <c r="A1419" s="11"/>
      <c r="B1419" s="6"/>
      <c r="C1419" s="11"/>
      <c r="D1419" s="11"/>
      <c r="E1419" s="8" t="str">
        <f aca="false">IF($A1419="","",SUMIFS($C:$C,$A:$A,$H1419,$B:$B,"&gt;="&amp;INT($B1419),$B:$B,"&lt;"&amp;(INT($B1419)+1)))</f>
        <v/>
      </c>
      <c r="F1419" s="19" t="str">
        <f aca="false">IF($A1419="","",IF(ISNA(MATCH($H1419,Buffers!$AE:$AE,0)),"Not on Buffers",IF(NOT(ISNUMBER($B1419)),"Needs a date",IF(INT($B1419)&lt;PlanDate,"Past due",IF(INT($B1419)=PlanDate,"Due today",IF(AND(INDEX(Buffers!$L:$L,MATCH($H1419,Buffers!$AE:$AE,0))="Planned",$E1419&gt;0,INT($B1419)&lt;=PlanDate+ROUNDUP(IF(ISNUMBER(SpikeHorizon),SpikeHorizon,INDEX(Buffers!$D:$D,MATCH($H1419,Buffers!$AE:$AE,0))),0),$E1419&gt;=SpikePct*INDEX(Buffers!$P:$P,MATCH($H1419,Buffers!$AE:$AE,0))),"Spike","Not qualified"))))))</f>
        <v/>
      </c>
      <c r="G1419" s="8" t="str">
        <f aca="false">IF($A1419="","",IF(OR($F1419="Past due",$F1419="Due today",$F1419="Spike"),$C1419,0))</f>
        <v/>
      </c>
      <c r="H1419" s="8" t="str">
        <f aca="false">IF($A1419="","",SUBSTITUTE(SUBSTITUTE(SUBSTITUTE($A1419&amp;"","~","~~"),"*","~*"),"?","~?"))</f>
        <v/>
      </c>
    </row>
    <row r="1420" customFormat="false" ht="15" hidden="false" customHeight="false" outlineLevel="0" collapsed="false">
      <c r="A1420" s="11"/>
      <c r="B1420" s="6"/>
      <c r="C1420" s="11"/>
      <c r="D1420" s="11"/>
      <c r="E1420" s="8" t="str">
        <f aca="false">IF($A1420="","",SUMIFS($C:$C,$A:$A,$H1420,$B:$B,"&gt;="&amp;INT($B1420),$B:$B,"&lt;"&amp;(INT($B1420)+1)))</f>
        <v/>
      </c>
      <c r="F1420" s="19" t="str">
        <f aca="false">IF($A1420="","",IF(ISNA(MATCH($H1420,Buffers!$AE:$AE,0)),"Not on Buffers",IF(NOT(ISNUMBER($B1420)),"Needs a date",IF(INT($B1420)&lt;PlanDate,"Past due",IF(INT($B1420)=PlanDate,"Due today",IF(AND(INDEX(Buffers!$L:$L,MATCH($H1420,Buffers!$AE:$AE,0))="Planned",$E1420&gt;0,INT($B1420)&lt;=PlanDate+ROUNDUP(IF(ISNUMBER(SpikeHorizon),SpikeHorizon,INDEX(Buffers!$D:$D,MATCH($H1420,Buffers!$AE:$AE,0))),0),$E1420&gt;=SpikePct*INDEX(Buffers!$P:$P,MATCH($H1420,Buffers!$AE:$AE,0))),"Spike","Not qualified"))))))</f>
        <v/>
      </c>
      <c r="G1420" s="8" t="str">
        <f aca="false">IF($A1420="","",IF(OR($F1420="Past due",$F1420="Due today",$F1420="Spike"),$C1420,0))</f>
        <v/>
      </c>
      <c r="H1420" s="8" t="str">
        <f aca="false">IF($A1420="","",SUBSTITUTE(SUBSTITUTE(SUBSTITUTE($A1420&amp;"","~","~~"),"*","~*"),"?","~?"))</f>
        <v/>
      </c>
    </row>
    <row r="1421" customFormat="false" ht="15" hidden="false" customHeight="false" outlineLevel="0" collapsed="false">
      <c r="A1421" s="11"/>
      <c r="B1421" s="6"/>
      <c r="C1421" s="11"/>
      <c r="D1421" s="11"/>
      <c r="E1421" s="8" t="str">
        <f aca="false">IF($A1421="","",SUMIFS($C:$C,$A:$A,$H1421,$B:$B,"&gt;="&amp;INT($B1421),$B:$B,"&lt;"&amp;(INT($B1421)+1)))</f>
        <v/>
      </c>
      <c r="F1421" s="19" t="str">
        <f aca="false">IF($A1421="","",IF(ISNA(MATCH($H1421,Buffers!$AE:$AE,0)),"Not on Buffers",IF(NOT(ISNUMBER($B1421)),"Needs a date",IF(INT($B1421)&lt;PlanDate,"Past due",IF(INT($B1421)=PlanDate,"Due today",IF(AND(INDEX(Buffers!$L:$L,MATCH($H1421,Buffers!$AE:$AE,0))="Planned",$E1421&gt;0,INT($B1421)&lt;=PlanDate+ROUNDUP(IF(ISNUMBER(SpikeHorizon),SpikeHorizon,INDEX(Buffers!$D:$D,MATCH($H1421,Buffers!$AE:$AE,0))),0),$E1421&gt;=SpikePct*INDEX(Buffers!$P:$P,MATCH($H1421,Buffers!$AE:$AE,0))),"Spike","Not qualified"))))))</f>
        <v/>
      </c>
      <c r="G1421" s="8" t="str">
        <f aca="false">IF($A1421="","",IF(OR($F1421="Past due",$F1421="Due today",$F1421="Spike"),$C1421,0))</f>
        <v/>
      </c>
      <c r="H1421" s="8" t="str">
        <f aca="false">IF($A1421="","",SUBSTITUTE(SUBSTITUTE(SUBSTITUTE($A1421&amp;"","~","~~"),"*","~*"),"?","~?"))</f>
        <v/>
      </c>
    </row>
    <row r="1422" customFormat="false" ht="15" hidden="false" customHeight="false" outlineLevel="0" collapsed="false">
      <c r="A1422" s="11"/>
      <c r="B1422" s="6"/>
      <c r="C1422" s="11"/>
      <c r="D1422" s="11"/>
      <c r="E1422" s="8" t="str">
        <f aca="false">IF($A1422="","",SUMIFS($C:$C,$A:$A,$H1422,$B:$B,"&gt;="&amp;INT($B1422),$B:$B,"&lt;"&amp;(INT($B1422)+1)))</f>
        <v/>
      </c>
      <c r="F1422" s="19" t="str">
        <f aca="false">IF($A1422="","",IF(ISNA(MATCH($H1422,Buffers!$AE:$AE,0)),"Not on Buffers",IF(NOT(ISNUMBER($B1422)),"Needs a date",IF(INT($B1422)&lt;PlanDate,"Past due",IF(INT($B1422)=PlanDate,"Due today",IF(AND(INDEX(Buffers!$L:$L,MATCH($H1422,Buffers!$AE:$AE,0))="Planned",$E1422&gt;0,INT($B1422)&lt;=PlanDate+ROUNDUP(IF(ISNUMBER(SpikeHorizon),SpikeHorizon,INDEX(Buffers!$D:$D,MATCH($H1422,Buffers!$AE:$AE,0))),0),$E1422&gt;=SpikePct*INDEX(Buffers!$P:$P,MATCH($H1422,Buffers!$AE:$AE,0))),"Spike","Not qualified"))))))</f>
        <v/>
      </c>
      <c r="G1422" s="8" t="str">
        <f aca="false">IF($A1422="","",IF(OR($F1422="Past due",$F1422="Due today",$F1422="Spike"),$C1422,0))</f>
        <v/>
      </c>
      <c r="H1422" s="8" t="str">
        <f aca="false">IF($A1422="","",SUBSTITUTE(SUBSTITUTE(SUBSTITUTE($A1422&amp;"","~","~~"),"*","~*"),"?","~?"))</f>
        <v/>
      </c>
    </row>
    <row r="1423" customFormat="false" ht="15" hidden="false" customHeight="false" outlineLevel="0" collapsed="false">
      <c r="A1423" s="11"/>
      <c r="B1423" s="6"/>
      <c r="C1423" s="11"/>
      <c r="D1423" s="11"/>
      <c r="E1423" s="8" t="str">
        <f aca="false">IF($A1423="","",SUMIFS($C:$C,$A:$A,$H1423,$B:$B,"&gt;="&amp;INT($B1423),$B:$B,"&lt;"&amp;(INT($B1423)+1)))</f>
        <v/>
      </c>
      <c r="F1423" s="19" t="str">
        <f aca="false">IF($A1423="","",IF(ISNA(MATCH($H1423,Buffers!$AE:$AE,0)),"Not on Buffers",IF(NOT(ISNUMBER($B1423)),"Needs a date",IF(INT($B1423)&lt;PlanDate,"Past due",IF(INT($B1423)=PlanDate,"Due today",IF(AND(INDEX(Buffers!$L:$L,MATCH($H1423,Buffers!$AE:$AE,0))="Planned",$E1423&gt;0,INT($B1423)&lt;=PlanDate+ROUNDUP(IF(ISNUMBER(SpikeHorizon),SpikeHorizon,INDEX(Buffers!$D:$D,MATCH($H1423,Buffers!$AE:$AE,0))),0),$E1423&gt;=SpikePct*INDEX(Buffers!$P:$P,MATCH($H1423,Buffers!$AE:$AE,0))),"Spike","Not qualified"))))))</f>
        <v/>
      </c>
      <c r="G1423" s="8" t="str">
        <f aca="false">IF($A1423="","",IF(OR($F1423="Past due",$F1423="Due today",$F1423="Spike"),$C1423,0))</f>
        <v/>
      </c>
      <c r="H1423" s="8" t="str">
        <f aca="false">IF($A1423="","",SUBSTITUTE(SUBSTITUTE(SUBSTITUTE($A1423&amp;"","~","~~"),"*","~*"),"?","~?"))</f>
        <v/>
      </c>
    </row>
    <row r="1424" customFormat="false" ht="15" hidden="false" customHeight="false" outlineLevel="0" collapsed="false">
      <c r="A1424" s="11"/>
      <c r="B1424" s="6"/>
      <c r="C1424" s="11"/>
      <c r="D1424" s="11"/>
      <c r="E1424" s="8" t="str">
        <f aca="false">IF($A1424="","",SUMIFS($C:$C,$A:$A,$H1424,$B:$B,"&gt;="&amp;INT($B1424),$B:$B,"&lt;"&amp;(INT($B1424)+1)))</f>
        <v/>
      </c>
      <c r="F1424" s="19" t="str">
        <f aca="false">IF($A1424="","",IF(ISNA(MATCH($H1424,Buffers!$AE:$AE,0)),"Not on Buffers",IF(NOT(ISNUMBER($B1424)),"Needs a date",IF(INT($B1424)&lt;PlanDate,"Past due",IF(INT($B1424)=PlanDate,"Due today",IF(AND(INDEX(Buffers!$L:$L,MATCH($H1424,Buffers!$AE:$AE,0))="Planned",$E1424&gt;0,INT($B1424)&lt;=PlanDate+ROUNDUP(IF(ISNUMBER(SpikeHorizon),SpikeHorizon,INDEX(Buffers!$D:$D,MATCH($H1424,Buffers!$AE:$AE,0))),0),$E1424&gt;=SpikePct*INDEX(Buffers!$P:$P,MATCH($H1424,Buffers!$AE:$AE,0))),"Spike","Not qualified"))))))</f>
        <v/>
      </c>
      <c r="G1424" s="8" t="str">
        <f aca="false">IF($A1424="","",IF(OR($F1424="Past due",$F1424="Due today",$F1424="Spike"),$C1424,0))</f>
        <v/>
      </c>
      <c r="H1424" s="8" t="str">
        <f aca="false">IF($A1424="","",SUBSTITUTE(SUBSTITUTE(SUBSTITUTE($A1424&amp;"","~","~~"),"*","~*"),"?","~?"))</f>
        <v/>
      </c>
    </row>
    <row r="1425" customFormat="false" ht="15" hidden="false" customHeight="false" outlineLevel="0" collapsed="false">
      <c r="A1425" s="11"/>
      <c r="B1425" s="6"/>
      <c r="C1425" s="11"/>
      <c r="D1425" s="11"/>
      <c r="E1425" s="8" t="str">
        <f aca="false">IF($A1425="","",SUMIFS($C:$C,$A:$A,$H1425,$B:$B,"&gt;="&amp;INT($B1425),$B:$B,"&lt;"&amp;(INT($B1425)+1)))</f>
        <v/>
      </c>
      <c r="F1425" s="19" t="str">
        <f aca="false">IF($A1425="","",IF(ISNA(MATCH($H1425,Buffers!$AE:$AE,0)),"Not on Buffers",IF(NOT(ISNUMBER($B1425)),"Needs a date",IF(INT($B1425)&lt;PlanDate,"Past due",IF(INT($B1425)=PlanDate,"Due today",IF(AND(INDEX(Buffers!$L:$L,MATCH($H1425,Buffers!$AE:$AE,0))="Planned",$E1425&gt;0,INT($B1425)&lt;=PlanDate+ROUNDUP(IF(ISNUMBER(SpikeHorizon),SpikeHorizon,INDEX(Buffers!$D:$D,MATCH($H1425,Buffers!$AE:$AE,0))),0),$E1425&gt;=SpikePct*INDEX(Buffers!$P:$P,MATCH($H1425,Buffers!$AE:$AE,0))),"Spike","Not qualified"))))))</f>
        <v/>
      </c>
      <c r="G1425" s="8" t="str">
        <f aca="false">IF($A1425="","",IF(OR($F1425="Past due",$F1425="Due today",$F1425="Spike"),$C1425,0))</f>
        <v/>
      </c>
      <c r="H1425" s="8" t="str">
        <f aca="false">IF($A1425="","",SUBSTITUTE(SUBSTITUTE(SUBSTITUTE($A1425&amp;"","~","~~"),"*","~*"),"?","~?"))</f>
        <v/>
      </c>
    </row>
    <row r="1426" customFormat="false" ht="15" hidden="false" customHeight="false" outlineLevel="0" collapsed="false">
      <c r="A1426" s="11"/>
      <c r="B1426" s="6"/>
      <c r="C1426" s="11"/>
      <c r="D1426" s="11"/>
      <c r="E1426" s="8" t="str">
        <f aca="false">IF($A1426="","",SUMIFS($C:$C,$A:$A,$H1426,$B:$B,"&gt;="&amp;INT($B1426),$B:$B,"&lt;"&amp;(INT($B1426)+1)))</f>
        <v/>
      </c>
      <c r="F1426" s="19" t="str">
        <f aca="false">IF($A1426="","",IF(ISNA(MATCH($H1426,Buffers!$AE:$AE,0)),"Not on Buffers",IF(NOT(ISNUMBER($B1426)),"Needs a date",IF(INT($B1426)&lt;PlanDate,"Past due",IF(INT($B1426)=PlanDate,"Due today",IF(AND(INDEX(Buffers!$L:$L,MATCH($H1426,Buffers!$AE:$AE,0))="Planned",$E1426&gt;0,INT($B1426)&lt;=PlanDate+ROUNDUP(IF(ISNUMBER(SpikeHorizon),SpikeHorizon,INDEX(Buffers!$D:$D,MATCH($H1426,Buffers!$AE:$AE,0))),0),$E1426&gt;=SpikePct*INDEX(Buffers!$P:$P,MATCH($H1426,Buffers!$AE:$AE,0))),"Spike","Not qualified"))))))</f>
        <v/>
      </c>
      <c r="G1426" s="8" t="str">
        <f aca="false">IF($A1426="","",IF(OR($F1426="Past due",$F1426="Due today",$F1426="Spike"),$C1426,0))</f>
        <v/>
      </c>
      <c r="H1426" s="8" t="str">
        <f aca="false">IF($A1426="","",SUBSTITUTE(SUBSTITUTE(SUBSTITUTE($A1426&amp;"","~","~~"),"*","~*"),"?","~?"))</f>
        <v/>
      </c>
    </row>
    <row r="1427" customFormat="false" ht="15" hidden="false" customHeight="false" outlineLevel="0" collapsed="false">
      <c r="A1427" s="11"/>
      <c r="B1427" s="6"/>
      <c r="C1427" s="11"/>
      <c r="D1427" s="11"/>
      <c r="E1427" s="8" t="str">
        <f aca="false">IF($A1427="","",SUMIFS($C:$C,$A:$A,$H1427,$B:$B,"&gt;="&amp;INT($B1427),$B:$B,"&lt;"&amp;(INT($B1427)+1)))</f>
        <v/>
      </c>
      <c r="F1427" s="19" t="str">
        <f aca="false">IF($A1427="","",IF(ISNA(MATCH($H1427,Buffers!$AE:$AE,0)),"Not on Buffers",IF(NOT(ISNUMBER($B1427)),"Needs a date",IF(INT($B1427)&lt;PlanDate,"Past due",IF(INT($B1427)=PlanDate,"Due today",IF(AND(INDEX(Buffers!$L:$L,MATCH($H1427,Buffers!$AE:$AE,0))="Planned",$E1427&gt;0,INT($B1427)&lt;=PlanDate+ROUNDUP(IF(ISNUMBER(SpikeHorizon),SpikeHorizon,INDEX(Buffers!$D:$D,MATCH($H1427,Buffers!$AE:$AE,0))),0),$E1427&gt;=SpikePct*INDEX(Buffers!$P:$P,MATCH($H1427,Buffers!$AE:$AE,0))),"Spike","Not qualified"))))))</f>
        <v/>
      </c>
      <c r="G1427" s="8" t="str">
        <f aca="false">IF($A1427="","",IF(OR($F1427="Past due",$F1427="Due today",$F1427="Spike"),$C1427,0))</f>
        <v/>
      </c>
      <c r="H1427" s="8" t="str">
        <f aca="false">IF($A1427="","",SUBSTITUTE(SUBSTITUTE(SUBSTITUTE($A1427&amp;"","~","~~"),"*","~*"),"?","~?"))</f>
        <v/>
      </c>
    </row>
    <row r="1428" customFormat="false" ht="15" hidden="false" customHeight="false" outlineLevel="0" collapsed="false">
      <c r="A1428" s="11"/>
      <c r="B1428" s="6"/>
      <c r="C1428" s="11"/>
      <c r="D1428" s="11"/>
      <c r="E1428" s="8" t="str">
        <f aca="false">IF($A1428="","",SUMIFS($C:$C,$A:$A,$H1428,$B:$B,"&gt;="&amp;INT($B1428),$B:$B,"&lt;"&amp;(INT($B1428)+1)))</f>
        <v/>
      </c>
      <c r="F1428" s="19" t="str">
        <f aca="false">IF($A1428="","",IF(ISNA(MATCH($H1428,Buffers!$AE:$AE,0)),"Not on Buffers",IF(NOT(ISNUMBER($B1428)),"Needs a date",IF(INT($B1428)&lt;PlanDate,"Past due",IF(INT($B1428)=PlanDate,"Due today",IF(AND(INDEX(Buffers!$L:$L,MATCH($H1428,Buffers!$AE:$AE,0))="Planned",$E1428&gt;0,INT($B1428)&lt;=PlanDate+ROUNDUP(IF(ISNUMBER(SpikeHorizon),SpikeHorizon,INDEX(Buffers!$D:$D,MATCH($H1428,Buffers!$AE:$AE,0))),0),$E1428&gt;=SpikePct*INDEX(Buffers!$P:$P,MATCH($H1428,Buffers!$AE:$AE,0))),"Spike","Not qualified"))))))</f>
        <v/>
      </c>
      <c r="G1428" s="8" t="str">
        <f aca="false">IF($A1428="","",IF(OR($F1428="Past due",$F1428="Due today",$F1428="Spike"),$C1428,0))</f>
        <v/>
      </c>
      <c r="H1428" s="8" t="str">
        <f aca="false">IF($A1428="","",SUBSTITUTE(SUBSTITUTE(SUBSTITUTE($A1428&amp;"","~","~~"),"*","~*"),"?","~?"))</f>
        <v/>
      </c>
    </row>
    <row r="1429" customFormat="false" ht="15" hidden="false" customHeight="false" outlineLevel="0" collapsed="false">
      <c r="A1429" s="11"/>
      <c r="B1429" s="6"/>
      <c r="C1429" s="11"/>
      <c r="D1429" s="11"/>
      <c r="E1429" s="8" t="str">
        <f aca="false">IF($A1429="","",SUMIFS($C:$C,$A:$A,$H1429,$B:$B,"&gt;="&amp;INT($B1429),$B:$B,"&lt;"&amp;(INT($B1429)+1)))</f>
        <v/>
      </c>
      <c r="F1429" s="19" t="str">
        <f aca="false">IF($A1429="","",IF(ISNA(MATCH($H1429,Buffers!$AE:$AE,0)),"Not on Buffers",IF(NOT(ISNUMBER($B1429)),"Needs a date",IF(INT($B1429)&lt;PlanDate,"Past due",IF(INT($B1429)=PlanDate,"Due today",IF(AND(INDEX(Buffers!$L:$L,MATCH($H1429,Buffers!$AE:$AE,0))="Planned",$E1429&gt;0,INT($B1429)&lt;=PlanDate+ROUNDUP(IF(ISNUMBER(SpikeHorizon),SpikeHorizon,INDEX(Buffers!$D:$D,MATCH($H1429,Buffers!$AE:$AE,0))),0),$E1429&gt;=SpikePct*INDEX(Buffers!$P:$P,MATCH($H1429,Buffers!$AE:$AE,0))),"Spike","Not qualified"))))))</f>
        <v/>
      </c>
      <c r="G1429" s="8" t="str">
        <f aca="false">IF($A1429="","",IF(OR($F1429="Past due",$F1429="Due today",$F1429="Spike"),$C1429,0))</f>
        <v/>
      </c>
      <c r="H1429" s="8" t="str">
        <f aca="false">IF($A1429="","",SUBSTITUTE(SUBSTITUTE(SUBSTITUTE($A1429&amp;"","~","~~"),"*","~*"),"?","~?"))</f>
        <v/>
      </c>
    </row>
    <row r="1430" customFormat="false" ht="15" hidden="false" customHeight="false" outlineLevel="0" collapsed="false">
      <c r="A1430" s="11"/>
      <c r="B1430" s="6"/>
      <c r="C1430" s="11"/>
      <c r="D1430" s="11"/>
      <c r="E1430" s="8" t="str">
        <f aca="false">IF($A1430="","",SUMIFS($C:$C,$A:$A,$H1430,$B:$B,"&gt;="&amp;INT($B1430),$B:$B,"&lt;"&amp;(INT($B1430)+1)))</f>
        <v/>
      </c>
      <c r="F1430" s="19" t="str">
        <f aca="false">IF($A1430="","",IF(ISNA(MATCH($H1430,Buffers!$AE:$AE,0)),"Not on Buffers",IF(NOT(ISNUMBER($B1430)),"Needs a date",IF(INT($B1430)&lt;PlanDate,"Past due",IF(INT($B1430)=PlanDate,"Due today",IF(AND(INDEX(Buffers!$L:$L,MATCH($H1430,Buffers!$AE:$AE,0))="Planned",$E1430&gt;0,INT($B1430)&lt;=PlanDate+ROUNDUP(IF(ISNUMBER(SpikeHorizon),SpikeHorizon,INDEX(Buffers!$D:$D,MATCH($H1430,Buffers!$AE:$AE,0))),0),$E1430&gt;=SpikePct*INDEX(Buffers!$P:$P,MATCH($H1430,Buffers!$AE:$AE,0))),"Spike","Not qualified"))))))</f>
        <v/>
      </c>
      <c r="G1430" s="8" t="str">
        <f aca="false">IF($A1430="","",IF(OR($F1430="Past due",$F1430="Due today",$F1430="Spike"),$C1430,0))</f>
        <v/>
      </c>
      <c r="H1430" s="8" t="str">
        <f aca="false">IF($A1430="","",SUBSTITUTE(SUBSTITUTE(SUBSTITUTE($A1430&amp;"","~","~~"),"*","~*"),"?","~?"))</f>
        <v/>
      </c>
    </row>
    <row r="1431" customFormat="false" ht="15" hidden="false" customHeight="false" outlineLevel="0" collapsed="false">
      <c r="A1431" s="11"/>
      <c r="B1431" s="6"/>
      <c r="C1431" s="11"/>
      <c r="D1431" s="11"/>
      <c r="E1431" s="8" t="str">
        <f aca="false">IF($A1431="","",SUMIFS($C:$C,$A:$A,$H1431,$B:$B,"&gt;="&amp;INT($B1431),$B:$B,"&lt;"&amp;(INT($B1431)+1)))</f>
        <v/>
      </c>
      <c r="F1431" s="19" t="str">
        <f aca="false">IF($A1431="","",IF(ISNA(MATCH($H1431,Buffers!$AE:$AE,0)),"Not on Buffers",IF(NOT(ISNUMBER($B1431)),"Needs a date",IF(INT($B1431)&lt;PlanDate,"Past due",IF(INT($B1431)=PlanDate,"Due today",IF(AND(INDEX(Buffers!$L:$L,MATCH($H1431,Buffers!$AE:$AE,0))="Planned",$E1431&gt;0,INT($B1431)&lt;=PlanDate+ROUNDUP(IF(ISNUMBER(SpikeHorizon),SpikeHorizon,INDEX(Buffers!$D:$D,MATCH($H1431,Buffers!$AE:$AE,0))),0),$E1431&gt;=SpikePct*INDEX(Buffers!$P:$P,MATCH($H1431,Buffers!$AE:$AE,0))),"Spike","Not qualified"))))))</f>
        <v/>
      </c>
      <c r="G1431" s="8" t="str">
        <f aca="false">IF($A1431="","",IF(OR($F1431="Past due",$F1431="Due today",$F1431="Spike"),$C1431,0))</f>
        <v/>
      </c>
      <c r="H1431" s="8" t="str">
        <f aca="false">IF($A1431="","",SUBSTITUTE(SUBSTITUTE(SUBSTITUTE($A1431&amp;"","~","~~"),"*","~*"),"?","~?"))</f>
        <v/>
      </c>
    </row>
    <row r="1432" customFormat="false" ht="15" hidden="false" customHeight="false" outlineLevel="0" collapsed="false">
      <c r="A1432" s="11"/>
      <c r="B1432" s="6"/>
      <c r="C1432" s="11"/>
      <c r="D1432" s="11"/>
      <c r="E1432" s="8" t="str">
        <f aca="false">IF($A1432="","",SUMIFS($C:$C,$A:$A,$H1432,$B:$B,"&gt;="&amp;INT($B1432),$B:$B,"&lt;"&amp;(INT($B1432)+1)))</f>
        <v/>
      </c>
      <c r="F1432" s="19" t="str">
        <f aca="false">IF($A1432="","",IF(ISNA(MATCH($H1432,Buffers!$AE:$AE,0)),"Not on Buffers",IF(NOT(ISNUMBER($B1432)),"Needs a date",IF(INT($B1432)&lt;PlanDate,"Past due",IF(INT($B1432)=PlanDate,"Due today",IF(AND(INDEX(Buffers!$L:$L,MATCH($H1432,Buffers!$AE:$AE,0))="Planned",$E1432&gt;0,INT($B1432)&lt;=PlanDate+ROUNDUP(IF(ISNUMBER(SpikeHorizon),SpikeHorizon,INDEX(Buffers!$D:$D,MATCH($H1432,Buffers!$AE:$AE,0))),0),$E1432&gt;=SpikePct*INDEX(Buffers!$P:$P,MATCH($H1432,Buffers!$AE:$AE,0))),"Spike","Not qualified"))))))</f>
        <v/>
      </c>
      <c r="G1432" s="8" t="str">
        <f aca="false">IF($A1432="","",IF(OR($F1432="Past due",$F1432="Due today",$F1432="Spike"),$C1432,0))</f>
        <v/>
      </c>
      <c r="H1432" s="8" t="str">
        <f aca="false">IF($A1432="","",SUBSTITUTE(SUBSTITUTE(SUBSTITUTE($A1432&amp;"","~","~~"),"*","~*"),"?","~?"))</f>
        <v/>
      </c>
    </row>
    <row r="1433" customFormat="false" ht="15" hidden="false" customHeight="false" outlineLevel="0" collapsed="false">
      <c r="A1433" s="11"/>
      <c r="B1433" s="6"/>
      <c r="C1433" s="11"/>
      <c r="D1433" s="11"/>
      <c r="E1433" s="8" t="str">
        <f aca="false">IF($A1433="","",SUMIFS($C:$C,$A:$A,$H1433,$B:$B,"&gt;="&amp;INT($B1433),$B:$B,"&lt;"&amp;(INT($B1433)+1)))</f>
        <v/>
      </c>
      <c r="F1433" s="19" t="str">
        <f aca="false">IF($A1433="","",IF(ISNA(MATCH($H1433,Buffers!$AE:$AE,0)),"Not on Buffers",IF(NOT(ISNUMBER($B1433)),"Needs a date",IF(INT($B1433)&lt;PlanDate,"Past due",IF(INT($B1433)=PlanDate,"Due today",IF(AND(INDEX(Buffers!$L:$L,MATCH($H1433,Buffers!$AE:$AE,0))="Planned",$E1433&gt;0,INT($B1433)&lt;=PlanDate+ROUNDUP(IF(ISNUMBER(SpikeHorizon),SpikeHorizon,INDEX(Buffers!$D:$D,MATCH($H1433,Buffers!$AE:$AE,0))),0),$E1433&gt;=SpikePct*INDEX(Buffers!$P:$P,MATCH($H1433,Buffers!$AE:$AE,0))),"Spike","Not qualified"))))))</f>
        <v/>
      </c>
      <c r="G1433" s="8" t="str">
        <f aca="false">IF($A1433="","",IF(OR($F1433="Past due",$F1433="Due today",$F1433="Spike"),$C1433,0))</f>
        <v/>
      </c>
      <c r="H1433" s="8" t="str">
        <f aca="false">IF($A1433="","",SUBSTITUTE(SUBSTITUTE(SUBSTITUTE($A1433&amp;"","~","~~"),"*","~*"),"?","~?"))</f>
        <v/>
      </c>
    </row>
    <row r="1434" customFormat="false" ht="15" hidden="false" customHeight="false" outlineLevel="0" collapsed="false">
      <c r="A1434" s="11"/>
      <c r="B1434" s="6"/>
      <c r="C1434" s="11"/>
      <c r="D1434" s="11"/>
      <c r="E1434" s="8" t="str">
        <f aca="false">IF($A1434="","",SUMIFS($C:$C,$A:$A,$H1434,$B:$B,"&gt;="&amp;INT($B1434),$B:$B,"&lt;"&amp;(INT($B1434)+1)))</f>
        <v/>
      </c>
      <c r="F1434" s="19" t="str">
        <f aca="false">IF($A1434="","",IF(ISNA(MATCH($H1434,Buffers!$AE:$AE,0)),"Not on Buffers",IF(NOT(ISNUMBER($B1434)),"Needs a date",IF(INT($B1434)&lt;PlanDate,"Past due",IF(INT($B1434)=PlanDate,"Due today",IF(AND(INDEX(Buffers!$L:$L,MATCH($H1434,Buffers!$AE:$AE,0))="Planned",$E1434&gt;0,INT($B1434)&lt;=PlanDate+ROUNDUP(IF(ISNUMBER(SpikeHorizon),SpikeHorizon,INDEX(Buffers!$D:$D,MATCH($H1434,Buffers!$AE:$AE,0))),0),$E1434&gt;=SpikePct*INDEX(Buffers!$P:$P,MATCH($H1434,Buffers!$AE:$AE,0))),"Spike","Not qualified"))))))</f>
        <v/>
      </c>
      <c r="G1434" s="8" t="str">
        <f aca="false">IF($A1434="","",IF(OR($F1434="Past due",$F1434="Due today",$F1434="Spike"),$C1434,0))</f>
        <v/>
      </c>
      <c r="H1434" s="8" t="str">
        <f aca="false">IF($A1434="","",SUBSTITUTE(SUBSTITUTE(SUBSTITUTE($A1434&amp;"","~","~~"),"*","~*"),"?","~?"))</f>
        <v/>
      </c>
    </row>
    <row r="1435" customFormat="false" ht="15" hidden="false" customHeight="false" outlineLevel="0" collapsed="false">
      <c r="A1435" s="11"/>
      <c r="B1435" s="6"/>
      <c r="C1435" s="11"/>
      <c r="D1435" s="11"/>
      <c r="E1435" s="8" t="str">
        <f aca="false">IF($A1435="","",SUMIFS($C:$C,$A:$A,$H1435,$B:$B,"&gt;="&amp;INT($B1435),$B:$B,"&lt;"&amp;(INT($B1435)+1)))</f>
        <v/>
      </c>
      <c r="F1435" s="19" t="str">
        <f aca="false">IF($A1435="","",IF(ISNA(MATCH($H1435,Buffers!$AE:$AE,0)),"Not on Buffers",IF(NOT(ISNUMBER($B1435)),"Needs a date",IF(INT($B1435)&lt;PlanDate,"Past due",IF(INT($B1435)=PlanDate,"Due today",IF(AND(INDEX(Buffers!$L:$L,MATCH($H1435,Buffers!$AE:$AE,0))="Planned",$E1435&gt;0,INT($B1435)&lt;=PlanDate+ROUNDUP(IF(ISNUMBER(SpikeHorizon),SpikeHorizon,INDEX(Buffers!$D:$D,MATCH($H1435,Buffers!$AE:$AE,0))),0),$E1435&gt;=SpikePct*INDEX(Buffers!$P:$P,MATCH($H1435,Buffers!$AE:$AE,0))),"Spike","Not qualified"))))))</f>
        <v/>
      </c>
      <c r="G1435" s="8" t="str">
        <f aca="false">IF($A1435="","",IF(OR($F1435="Past due",$F1435="Due today",$F1435="Spike"),$C1435,0))</f>
        <v/>
      </c>
      <c r="H1435" s="8" t="str">
        <f aca="false">IF($A1435="","",SUBSTITUTE(SUBSTITUTE(SUBSTITUTE($A1435&amp;"","~","~~"),"*","~*"),"?","~?"))</f>
        <v/>
      </c>
    </row>
    <row r="1436" customFormat="false" ht="15" hidden="false" customHeight="false" outlineLevel="0" collapsed="false">
      <c r="A1436" s="11"/>
      <c r="B1436" s="6"/>
      <c r="C1436" s="11"/>
      <c r="D1436" s="11"/>
      <c r="E1436" s="8" t="str">
        <f aca="false">IF($A1436="","",SUMIFS($C:$C,$A:$A,$H1436,$B:$B,"&gt;="&amp;INT($B1436),$B:$B,"&lt;"&amp;(INT($B1436)+1)))</f>
        <v/>
      </c>
      <c r="F1436" s="19" t="str">
        <f aca="false">IF($A1436="","",IF(ISNA(MATCH($H1436,Buffers!$AE:$AE,0)),"Not on Buffers",IF(NOT(ISNUMBER($B1436)),"Needs a date",IF(INT($B1436)&lt;PlanDate,"Past due",IF(INT($B1436)=PlanDate,"Due today",IF(AND(INDEX(Buffers!$L:$L,MATCH($H1436,Buffers!$AE:$AE,0))="Planned",$E1436&gt;0,INT($B1436)&lt;=PlanDate+ROUNDUP(IF(ISNUMBER(SpikeHorizon),SpikeHorizon,INDEX(Buffers!$D:$D,MATCH($H1436,Buffers!$AE:$AE,0))),0),$E1436&gt;=SpikePct*INDEX(Buffers!$P:$P,MATCH($H1436,Buffers!$AE:$AE,0))),"Spike","Not qualified"))))))</f>
        <v/>
      </c>
      <c r="G1436" s="8" t="str">
        <f aca="false">IF($A1436="","",IF(OR($F1436="Past due",$F1436="Due today",$F1436="Spike"),$C1436,0))</f>
        <v/>
      </c>
      <c r="H1436" s="8" t="str">
        <f aca="false">IF($A1436="","",SUBSTITUTE(SUBSTITUTE(SUBSTITUTE($A1436&amp;"","~","~~"),"*","~*"),"?","~?"))</f>
        <v/>
      </c>
    </row>
    <row r="1437" customFormat="false" ht="15" hidden="false" customHeight="false" outlineLevel="0" collapsed="false">
      <c r="A1437" s="11"/>
      <c r="B1437" s="6"/>
      <c r="C1437" s="11"/>
      <c r="D1437" s="11"/>
      <c r="E1437" s="8" t="str">
        <f aca="false">IF($A1437="","",SUMIFS($C:$C,$A:$A,$H1437,$B:$B,"&gt;="&amp;INT($B1437),$B:$B,"&lt;"&amp;(INT($B1437)+1)))</f>
        <v/>
      </c>
      <c r="F1437" s="19" t="str">
        <f aca="false">IF($A1437="","",IF(ISNA(MATCH($H1437,Buffers!$AE:$AE,0)),"Not on Buffers",IF(NOT(ISNUMBER($B1437)),"Needs a date",IF(INT($B1437)&lt;PlanDate,"Past due",IF(INT($B1437)=PlanDate,"Due today",IF(AND(INDEX(Buffers!$L:$L,MATCH($H1437,Buffers!$AE:$AE,0))="Planned",$E1437&gt;0,INT($B1437)&lt;=PlanDate+ROUNDUP(IF(ISNUMBER(SpikeHorizon),SpikeHorizon,INDEX(Buffers!$D:$D,MATCH($H1437,Buffers!$AE:$AE,0))),0),$E1437&gt;=SpikePct*INDEX(Buffers!$P:$P,MATCH($H1437,Buffers!$AE:$AE,0))),"Spike","Not qualified"))))))</f>
        <v/>
      </c>
      <c r="G1437" s="8" t="str">
        <f aca="false">IF($A1437="","",IF(OR($F1437="Past due",$F1437="Due today",$F1437="Spike"),$C1437,0))</f>
        <v/>
      </c>
      <c r="H1437" s="8" t="str">
        <f aca="false">IF($A1437="","",SUBSTITUTE(SUBSTITUTE(SUBSTITUTE($A1437&amp;"","~","~~"),"*","~*"),"?","~?"))</f>
        <v/>
      </c>
    </row>
    <row r="1438" customFormat="false" ht="15" hidden="false" customHeight="false" outlineLevel="0" collapsed="false">
      <c r="A1438" s="11"/>
      <c r="B1438" s="6"/>
      <c r="C1438" s="11"/>
      <c r="D1438" s="11"/>
      <c r="E1438" s="8" t="str">
        <f aca="false">IF($A1438="","",SUMIFS($C:$C,$A:$A,$H1438,$B:$B,"&gt;="&amp;INT($B1438),$B:$B,"&lt;"&amp;(INT($B1438)+1)))</f>
        <v/>
      </c>
      <c r="F1438" s="19" t="str">
        <f aca="false">IF($A1438="","",IF(ISNA(MATCH($H1438,Buffers!$AE:$AE,0)),"Not on Buffers",IF(NOT(ISNUMBER($B1438)),"Needs a date",IF(INT($B1438)&lt;PlanDate,"Past due",IF(INT($B1438)=PlanDate,"Due today",IF(AND(INDEX(Buffers!$L:$L,MATCH($H1438,Buffers!$AE:$AE,0))="Planned",$E1438&gt;0,INT($B1438)&lt;=PlanDate+ROUNDUP(IF(ISNUMBER(SpikeHorizon),SpikeHorizon,INDEX(Buffers!$D:$D,MATCH($H1438,Buffers!$AE:$AE,0))),0),$E1438&gt;=SpikePct*INDEX(Buffers!$P:$P,MATCH($H1438,Buffers!$AE:$AE,0))),"Spike","Not qualified"))))))</f>
        <v/>
      </c>
      <c r="G1438" s="8" t="str">
        <f aca="false">IF($A1438="","",IF(OR($F1438="Past due",$F1438="Due today",$F1438="Spike"),$C1438,0))</f>
        <v/>
      </c>
      <c r="H1438" s="8" t="str">
        <f aca="false">IF($A1438="","",SUBSTITUTE(SUBSTITUTE(SUBSTITUTE($A1438&amp;"","~","~~"),"*","~*"),"?","~?"))</f>
        <v/>
      </c>
    </row>
    <row r="1439" customFormat="false" ht="15" hidden="false" customHeight="false" outlineLevel="0" collapsed="false">
      <c r="A1439" s="11"/>
      <c r="B1439" s="6"/>
      <c r="C1439" s="11"/>
      <c r="D1439" s="11"/>
      <c r="E1439" s="8" t="str">
        <f aca="false">IF($A1439="","",SUMIFS($C:$C,$A:$A,$H1439,$B:$B,"&gt;="&amp;INT($B1439),$B:$B,"&lt;"&amp;(INT($B1439)+1)))</f>
        <v/>
      </c>
      <c r="F1439" s="19" t="str">
        <f aca="false">IF($A1439="","",IF(ISNA(MATCH($H1439,Buffers!$AE:$AE,0)),"Not on Buffers",IF(NOT(ISNUMBER($B1439)),"Needs a date",IF(INT($B1439)&lt;PlanDate,"Past due",IF(INT($B1439)=PlanDate,"Due today",IF(AND(INDEX(Buffers!$L:$L,MATCH($H1439,Buffers!$AE:$AE,0))="Planned",$E1439&gt;0,INT($B1439)&lt;=PlanDate+ROUNDUP(IF(ISNUMBER(SpikeHorizon),SpikeHorizon,INDEX(Buffers!$D:$D,MATCH($H1439,Buffers!$AE:$AE,0))),0),$E1439&gt;=SpikePct*INDEX(Buffers!$P:$P,MATCH($H1439,Buffers!$AE:$AE,0))),"Spike","Not qualified"))))))</f>
        <v/>
      </c>
      <c r="G1439" s="8" t="str">
        <f aca="false">IF($A1439="","",IF(OR($F1439="Past due",$F1439="Due today",$F1439="Spike"),$C1439,0))</f>
        <v/>
      </c>
      <c r="H1439" s="8" t="str">
        <f aca="false">IF($A1439="","",SUBSTITUTE(SUBSTITUTE(SUBSTITUTE($A1439&amp;"","~","~~"),"*","~*"),"?","~?"))</f>
        <v/>
      </c>
    </row>
    <row r="1440" customFormat="false" ht="15" hidden="false" customHeight="false" outlineLevel="0" collapsed="false">
      <c r="A1440" s="11"/>
      <c r="B1440" s="6"/>
      <c r="C1440" s="11"/>
      <c r="D1440" s="11"/>
      <c r="E1440" s="8" t="str">
        <f aca="false">IF($A1440="","",SUMIFS($C:$C,$A:$A,$H1440,$B:$B,"&gt;="&amp;INT($B1440),$B:$B,"&lt;"&amp;(INT($B1440)+1)))</f>
        <v/>
      </c>
      <c r="F1440" s="19" t="str">
        <f aca="false">IF($A1440="","",IF(ISNA(MATCH($H1440,Buffers!$AE:$AE,0)),"Not on Buffers",IF(NOT(ISNUMBER($B1440)),"Needs a date",IF(INT($B1440)&lt;PlanDate,"Past due",IF(INT($B1440)=PlanDate,"Due today",IF(AND(INDEX(Buffers!$L:$L,MATCH($H1440,Buffers!$AE:$AE,0))="Planned",$E1440&gt;0,INT($B1440)&lt;=PlanDate+ROUNDUP(IF(ISNUMBER(SpikeHorizon),SpikeHorizon,INDEX(Buffers!$D:$D,MATCH($H1440,Buffers!$AE:$AE,0))),0),$E1440&gt;=SpikePct*INDEX(Buffers!$P:$P,MATCH($H1440,Buffers!$AE:$AE,0))),"Spike","Not qualified"))))))</f>
        <v/>
      </c>
      <c r="G1440" s="8" t="str">
        <f aca="false">IF($A1440="","",IF(OR($F1440="Past due",$F1440="Due today",$F1440="Spike"),$C1440,0))</f>
        <v/>
      </c>
      <c r="H1440" s="8" t="str">
        <f aca="false">IF($A1440="","",SUBSTITUTE(SUBSTITUTE(SUBSTITUTE($A1440&amp;"","~","~~"),"*","~*"),"?","~?"))</f>
        <v/>
      </c>
    </row>
    <row r="1441" customFormat="false" ht="15" hidden="false" customHeight="false" outlineLevel="0" collapsed="false">
      <c r="A1441" s="11"/>
      <c r="B1441" s="6"/>
      <c r="C1441" s="11"/>
      <c r="D1441" s="11"/>
      <c r="E1441" s="8" t="str">
        <f aca="false">IF($A1441="","",SUMIFS($C:$C,$A:$A,$H1441,$B:$B,"&gt;="&amp;INT($B1441),$B:$B,"&lt;"&amp;(INT($B1441)+1)))</f>
        <v/>
      </c>
      <c r="F1441" s="19" t="str">
        <f aca="false">IF($A1441="","",IF(ISNA(MATCH($H1441,Buffers!$AE:$AE,0)),"Not on Buffers",IF(NOT(ISNUMBER($B1441)),"Needs a date",IF(INT($B1441)&lt;PlanDate,"Past due",IF(INT($B1441)=PlanDate,"Due today",IF(AND(INDEX(Buffers!$L:$L,MATCH($H1441,Buffers!$AE:$AE,0))="Planned",$E1441&gt;0,INT($B1441)&lt;=PlanDate+ROUNDUP(IF(ISNUMBER(SpikeHorizon),SpikeHorizon,INDEX(Buffers!$D:$D,MATCH($H1441,Buffers!$AE:$AE,0))),0),$E1441&gt;=SpikePct*INDEX(Buffers!$P:$P,MATCH($H1441,Buffers!$AE:$AE,0))),"Spike","Not qualified"))))))</f>
        <v/>
      </c>
      <c r="G1441" s="8" t="str">
        <f aca="false">IF($A1441="","",IF(OR($F1441="Past due",$F1441="Due today",$F1441="Spike"),$C1441,0))</f>
        <v/>
      </c>
      <c r="H1441" s="8" t="str">
        <f aca="false">IF($A1441="","",SUBSTITUTE(SUBSTITUTE(SUBSTITUTE($A1441&amp;"","~","~~"),"*","~*"),"?","~?"))</f>
        <v/>
      </c>
    </row>
    <row r="1442" customFormat="false" ht="15" hidden="false" customHeight="false" outlineLevel="0" collapsed="false">
      <c r="A1442" s="11"/>
      <c r="B1442" s="6"/>
      <c r="C1442" s="11"/>
      <c r="D1442" s="11"/>
      <c r="E1442" s="8" t="str">
        <f aca="false">IF($A1442="","",SUMIFS($C:$C,$A:$A,$H1442,$B:$B,"&gt;="&amp;INT($B1442),$B:$B,"&lt;"&amp;(INT($B1442)+1)))</f>
        <v/>
      </c>
      <c r="F1442" s="19" t="str">
        <f aca="false">IF($A1442="","",IF(ISNA(MATCH($H1442,Buffers!$AE:$AE,0)),"Not on Buffers",IF(NOT(ISNUMBER($B1442)),"Needs a date",IF(INT($B1442)&lt;PlanDate,"Past due",IF(INT($B1442)=PlanDate,"Due today",IF(AND(INDEX(Buffers!$L:$L,MATCH($H1442,Buffers!$AE:$AE,0))="Planned",$E1442&gt;0,INT($B1442)&lt;=PlanDate+ROUNDUP(IF(ISNUMBER(SpikeHorizon),SpikeHorizon,INDEX(Buffers!$D:$D,MATCH($H1442,Buffers!$AE:$AE,0))),0),$E1442&gt;=SpikePct*INDEX(Buffers!$P:$P,MATCH($H1442,Buffers!$AE:$AE,0))),"Spike","Not qualified"))))))</f>
        <v/>
      </c>
      <c r="G1442" s="8" t="str">
        <f aca="false">IF($A1442="","",IF(OR($F1442="Past due",$F1442="Due today",$F1442="Spike"),$C1442,0))</f>
        <v/>
      </c>
      <c r="H1442" s="8" t="str">
        <f aca="false">IF($A1442="","",SUBSTITUTE(SUBSTITUTE(SUBSTITUTE($A1442&amp;"","~","~~"),"*","~*"),"?","~?"))</f>
        <v/>
      </c>
    </row>
    <row r="1443" customFormat="false" ht="15" hidden="false" customHeight="false" outlineLevel="0" collapsed="false">
      <c r="A1443" s="11"/>
      <c r="B1443" s="6"/>
      <c r="C1443" s="11"/>
      <c r="D1443" s="11"/>
      <c r="E1443" s="8" t="str">
        <f aca="false">IF($A1443="","",SUMIFS($C:$C,$A:$A,$H1443,$B:$B,"&gt;="&amp;INT($B1443),$B:$B,"&lt;"&amp;(INT($B1443)+1)))</f>
        <v/>
      </c>
      <c r="F1443" s="19" t="str">
        <f aca="false">IF($A1443="","",IF(ISNA(MATCH($H1443,Buffers!$AE:$AE,0)),"Not on Buffers",IF(NOT(ISNUMBER($B1443)),"Needs a date",IF(INT($B1443)&lt;PlanDate,"Past due",IF(INT($B1443)=PlanDate,"Due today",IF(AND(INDEX(Buffers!$L:$L,MATCH($H1443,Buffers!$AE:$AE,0))="Planned",$E1443&gt;0,INT($B1443)&lt;=PlanDate+ROUNDUP(IF(ISNUMBER(SpikeHorizon),SpikeHorizon,INDEX(Buffers!$D:$D,MATCH($H1443,Buffers!$AE:$AE,0))),0),$E1443&gt;=SpikePct*INDEX(Buffers!$P:$P,MATCH($H1443,Buffers!$AE:$AE,0))),"Spike","Not qualified"))))))</f>
        <v/>
      </c>
      <c r="G1443" s="8" t="str">
        <f aca="false">IF($A1443="","",IF(OR($F1443="Past due",$F1443="Due today",$F1443="Spike"),$C1443,0))</f>
        <v/>
      </c>
      <c r="H1443" s="8" t="str">
        <f aca="false">IF($A1443="","",SUBSTITUTE(SUBSTITUTE(SUBSTITUTE($A1443&amp;"","~","~~"),"*","~*"),"?","~?"))</f>
        <v/>
      </c>
    </row>
    <row r="1444" customFormat="false" ht="15" hidden="false" customHeight="false" outlineLevel="0" collapsed="false">
      <c r="A1444" s="11"/>
      <c r="B1444" s="6"/>
      <c r="C1444" s="11"/>
      <c r="D1444" s="11"/>
      <c r="E1444" s="8" t="str">
        <f aca="false">IF($A1444="","",SUMIFS($C:$C,$A:$A,$H1444,$B:$B,"&gt;="&amp;INT($B1444),$B:$B,"&lt;"&amp;(INT($B1444)+1)))</f>
        <v/>
      </c>
      <c r="F1444" s="19" t="str">
        <f aca="false">IF($A1444="","",IF(ISNA(MATCH($H1444,Buffers!$AE:$AE,0)),"Not on Buffers",IF(NOT(ISNUMBER($B1444)),"Needs a date",IF(INT($B1444)&lt;PlanDate,"Past due",IF(INT($B1444)=PlanDate,"Due today",IF(AND(INDEX(Buffers!$L:$L,MATCH($H1444,Buffers!$AE:$AE,0))="Planned",$E1444&gt;0,INT($B1444)&lt;=PlanDate+ROUNDUP(IF(ISNUMBER(SpikeHorizon),SpikeHorizon,INDEX(Buffers!$D:$D,MATCH($H1444,Buffers!$AE:$AE,0))),0),$E1444&gt;=SpikePct*INDEX(Buffers!$P:$P,MATCH($H1444,Buffers!$AE:$AE,0))),"Spike","Not qualified"))))))</f>
        <v/>
      </c>
      <c r="G1444" s="8" t="str">
        <f aca="false">IF($A1444="","",IF(OR($F1444="Past due",$F1444="Due today",$F1444="Spike"),$C1444,0))</f>
        <v/>
      </c>
      <c r="H1444" s="8" t="str">
        <f aca="false">IF($A1444="","",SUBSTITUTE(SUBSTITUTE(SUBSTITUTE($A1444&amp;"","~","~~"),"*","~*"),"?","~?"))</f>
        <v/>
      </c>
    </row>
    <row r="1445" customFormat="false" ht="15" hidden="false" customHeight="false" outlineLevel="0" collapsed="false">
      <c r="A1445" s="11"/>
      <c r="B1445" s="6"/>
      <c r="C1445" s="11"/>
      <c r="D1445" s="11"/>
      <c r="E1445" s="8" t="str">
        <f aca="false">IF($A1445="","",SUMIFS($C:$C,$A:$A,$H1445,$B:$B,"&gt;="&amp;INT($B1445),$B:$B,"&lt;"&amp;(INT($B1445)+1)))</f>
        <v/>
      </c>
      <c r="F1445" s="19" t="str">
        <f aca="false">IF($A1445="","",IF(ISNA(MATCH($H1445,Buffers!$AE:$AE,0)),"Not on Buffers",IF(NOT(ISNUMBER($B1445)),"Needs a date",IF(INT($B1445)&lt;PlanDate,"Past due",IF(INT($B1445)=PlanDate,"Due today",IF(AND(INDEX(Buffers!$L:$L,MATCH($H1445,Buffers!$AE:$AE,0))="Planned",$E1445&gt;0,INT($B1445)&lt;=PlanDate+ROUNDUP(IF(ISNUMBER(SpikeHorizon),SpikeHorizon,INDEX(Buffers!$D:$D,MATCH($H1445,Buffers!$AE:$AE,0))),0),$E1445&gt;=SpikePct*INDEX(Buffers!$P:$P,MATCH($H1445,Buffers!$AE:$AE,0))),"Spike","Not qualified"))))))</f>
        <v/>
      </c>
      <c r="G1445" s="8" t="str">
        <f aca="false">IF($A1445="","",IF(OR($F1445="Past due",$F1445="Due today",$F1445="Spike"),$C1445,0))</f>
        <v/>
      </c>
      <c r="H1445" s="8" t="str">
        <f aca="false">IF($A1445="","",SUBSTITUTE(SUBSTITUTE(SUBSTITUTE($A1445&amp;"","~","~~"),"*","~*"),"?","~?"))</f>
        <v/>
      </c>
    </row>
    <row r="1446" customFormat="false" ht="15" hidden="false" customHeight="false" outlineLevel="0" collapsed="false">
      <c r="A1446" s="11"/>
      <c r="B1446" s="6"/>
      <c r="C1446" s="11"/>
      <c r="D1446" s="11"/>
      <c r="E1446" s="8" t="str">
        <f aca="false">IF($A1446="","",SUMIFS($C:$C,$A:$A,$H1446,$B:$B,"&gt;="&amp;INT($B1446),$B:$B,"&lt;"&amp;(INT($B1446)+1)))</f>
        <v/>
      </c>
      <c r="F1446" s="19" t="str">
        <f aca="false">IF($A1446="","",IF(ISNA(MATCH($H1446,Buffers!$AE:$AE,0)),"Not on Buffers",IF(NOT(ISNUMBER($B1446)),"Needs a date",IF(INT($B1446)&lt;PlanDate,"Past due",IF(INT($B1446)=PlanDate,"Due today",IF(AND(INDEX(Buffers!$L:$L,MATCH($H1446,Buffers!$AE:$AE,0))="Planned",$E1446&gt;0,INT($B1446)&lt;=PlanDate+ROUNDUP(IF(ISNUMBER(SpikeHorizon),SpikeHorizon,INDEX(Buffers!$D:$D,MATCH($H1446,Buffers!$AE:$AE,0))),0),$E1446&gt;=SpikePct*INDEX(Buffers!$P:$P,MATCH($H1446,Buffers!$AE:$AE,0))),"Spike","Not qualified"))))))</f>
        <v/>
      </c>
      <c r="G1446" s="8" t="str">
        <f aca="false">IF($A1446="","",IF(OR($F1446="Past due",$F1446="Due today",$F1446="Spike"),$C1446,0))</f>
        <v/>
      </c>
      <c r="H1446" s="8" t="str">
        <f aca="false">IF($A1446="","",SUBSTITUTE(SUBSTITUTE(SUBSTITUTE($A1446&amp;"","~","~~"),"*","~*"),"?","~?"))</f>
        <v/>
      </c>
    </row>
    <row r="1447" customFormat="false" ht="15" hidden="false" customHeight="false" outlineLevel="0" collapsed="false">
      <c r="A1447" s="11"/>
      <c r="B1447" s="6"/>
      <c r="C1447" s="11"/>
      <c r="D1447" s="11"/>
      <c r="E1447" s="8" t="str">
        <f aca="false">IF($A1447="","",SUMIFS($C:$C,$A:$A,$H1447,$B:$B,"&gt;="&amp;INT($B1447),$B:$B,"&lt;"&amp;(INT($B1447)+1)))</f>
        <v/>
      </c>
      <c r="F1447" s="19" t="str">
        <f aca="false">IF($A1447="","",IF(ISNA(MATCH($H1447,Buffers!$AE:$AE,0)),"Not on Buffers",IF(NOT(ISNUMBER($B1447)),"Needs a date",IF(INT($B1447)&lt;PlanDate,"Past due",IF(INT($B1447)=PlanDate,"Due today",IF(AND(INDEX(Buffers!$L:$L,MATCH($H1447,Buffers!$AE:$AE,0))="Planned",$E1447&gt;0,INT($B1447)&lt;=PlanDate+ROUNDUP(IF(ISNUMBER(SpikeHorizon),SpikeHorizon,INDEX(Buffers!$D:$D,MATCH($H1447,Buffers!$AE:$AE,0))),0),$E1447&gt;=SpikePct*INDEX(Buffers!$P:$P,MATCH($H1447,Buffers!$AE:$AE,0))),"Spike","Not qualified"))))))</f>
        <v/>
      </c>
      <c r="G1447" s="8" t="str">
        <f aca="false">IF($A1447="","",IF(OR($F1447="Past due",$F1447="Due today",$F1447="Spike"),$C1447,0))</f>
        <v/>
      </c>
      <c r="H1447" s="8" t="str">
        <f aca="false">IF($A1447="","",SUBSTITUTE(SUBSTITUTE(SUBSTITUTE($A1447&amp;"","~","~~"),"*","~*"),"?","~?"))</f>
        <v/>
      </c>
    </row>
    <row r="1448" customFormat="false" ht="15" hidden="false" customHeight="false" outlineLevel="0" collapsed="false">
      <c r="A1448" s="11"/>
      <c r="B1448" s="6"/>
      <c r="C1448" s="11"/>
      <c r="D1448" s="11"/>
      <c r="E1448" s="8" t="str">
        <f aca="false">IF($A1448="","",SUMIFS($C:$C,$A:$A,$H1448,$B:$B,"&gt;="&amp;INT($B1448),$B:$B,"&lt;"&amp;(INT($B1448)+1)))</f>
        <v/>
      </c>
      <c r="F1448" s="19" t="str">
        <f aca="false">IF($A1448="","",IF(ISNA(MATCH($H1448,Buffers!$AE:$AE,0)),"Not on Buffers",IF(NOT(ISNUMBER($B1448)),"Needs a date",IF(INT($B1448)&lt;PlanDate,"Past due",IF(INT($B1448)=PlanDate,"Due today",IF(AND(INDEX(Buffers!$L:$L,MATCH($H1448,Buffers!$AE:$AE,0))="Planned",$E1448&gt;0,INT($B1448)&lt;=PlanDate+ROUNDUP(IF(ISNUMBER(SpikeHorizon),SpikeHorizon,INDEX(Buffers!$D:$D,MATCH($H1448,Buffers!$AE:$AE,0))),0),$E1448&gt;=SpikePct*INDEX(Buffers!$P:$P,MATCH($H1448,Buffers!$AE:$AE,0))),"Spike","Not qualified"))))))</f>
        <v/>
      </c>
      <c r="G1448" s="8" t="str">
        <f aca="false">IF($A1448="","",IF(OR($F1448="Past due",$F1448="Due today",$F1448="Spike"),$C1448,0))</f>
        <v/>
      </c>
      <c r="H1448" s="8" t="str">
        <f aca="false">IF($A1448="","",SUBSTITUTE(SUBSTITUTE(SUBSTITUTE($A1448&amp;"","~","~~"),"*","~*"),"?","~?"))</f>
        <v/>
      </c>
    </row>
    <row r="1449" customFormat="false" ht="15" hidden="false" customHeight="false" outlineLevel="0" collapsed="false">
      <c r="A1449" s="11"/>
      <c r="B1449" s="6"/>
      <c r="C1449" s="11"/>
      <c r="D1449" s="11"/>
      <c r="E1449" s="8" t="str">
        <f aca="false">IF($A1449="","",SUMIFS($C:$C,$A:$A,$H1449,$B:$B,"&gt;="&amp;INT($B1449),$B:$B,"&lt;"&amp;(INT($B1449)+1)))</f>
        <v/>
      </c>
      <c r="F1449" s="19" t="str">
        <f aca="false">IF($A1449="","",IF(ISNA(MATCH($H1449,Buffers!$AE:$AE,0)),"Not on Buffers",IF(NOT(ISNUMBER($B1449)),"Needs a date",IF(INT($B1449)&lt;PlanDate,"Past due",IF(INT($B1449)=PlanDate,"Due today",IF(AND(INDEX(Buffers!$L:$L,MATCH($H1449,Buffers!$AE:$AE,0))="Planned",$E1449&gt;0,INT($B1449)&lt;=PlanDate+ROUNDUP(IF(ISNUMBER(SpikeHorizon),SpikeHorizon,INDEX(Buffers!$D:$D,MATCH($H1449,Buffers!$AE:$AE,0))),0),$E1449&gt;=SpikePct*INDEX(Buffers!$P:$P,MATCH($H1449,Buffers!$AE:$AE,0))),"Spike","Not qualified"))))))</f>
        <v/>
      </c>
      <c r="G1449" s="8" t="str">
        <f aca="false">IF($A1449="","",IF(OR($F1449="Past due",$F1449="Due today",$F1449="Spike"),$C1449,0))</f>
        <v/>
      </c>
      <c r="H1449" s="8" t="str">
        <f aca="false">IF($A1449="","",SUBSTITUTE(SUBSTITUTE(SUBSTITUTE($A1449&amp;"","~","~~"),"*","~*"),"?","~?"))</f>
        <v/>
      </c>
    </row>
    <row r="1450" customFormat="false" ht="15" hidden="false" customHeight="false" outlineLevel="0" collapsed="false">
      <c r="A1450" s="11"/>
      <c r="B1450" s="6"/>
      <c r="C1450" s="11"/>
      <c r="D1450" s="11"/>
      <c r="E1450" s="8" t="str">
        <f aca="false">IF($A1450="","",SUMIFS($C:$C,$A:$A,$H1450,$B:$B,"&gt;="&amp;INT($B1450),$B:$B,"&lt;"&amp;(INT($B1450)+1)))</f>
        <v/>
      </c>
      <c r="F1450" s="19" t="str">
        <f aca="false">IF($A1450="","",IF(ISNA(MATCH($H1450,Buffers!$AE:$AE,0)),"Not on Buffers",IF(NOT(ISNUMBER($B1450)),"Needs a date",IF(INT($B1450)&lt;PlanDate,"Past due",IF(INT($B1450)=PlanDate,"Due today",IF(AND(INDEX(Buffers!$L:$L,MATCH($H1450,Buffers!$AE:$AE,0))="Planned",$E1450&gt;0,INT($B1450)&lt;=PlanDate+ROUNDUP(IF(ISNUMBER(SpikeHorizon),SpikeHorizon,INDEX(Buffers!$D:$D,MATCH($H1450,Buffers!$AE:$AE,0))),0),$E1450&gt;=SpikePct*INDEX(Buffers!$P:$P,MATCH($H1450,Buffers!$AE:$AE,0))),"Spike","Not qualified"))))))</f>
        <v/>
      </c>
      <c r="G1450" s="8" t="str">
        <f aca="false">IF($A1450="","",IF(OR($F1450="Past due",$F1450="Due today",$F1450="Spike"),$C1450,0))</f>
        <v/>
      </c>
      <c r="H1450" s="8" t="str">
        <f aca="false">IF($A1450="","",SUBSTITUTE(SUBSTITUTE(SUBSTITUTE($A1450&amp;"","~","~~"),"*","~*"),"?","~?"))</f>
        <v/>
      </c>
    </row>
    <row r="1451" customFormat="false" ht="15" hidden="false" customHeight="false" outlineLevel="0" collapsed="false">
      <c r="A1451" s="11"/>
      <c r="B1451" s="6"/>
      <c r="C1451" s="11"/>
      <c r="D1451" s="11"/>
      <c r="E1451" s="8" t="str">
        <f aca="false">IF($A1451="","",SUMIFS($C:$C,$A:$A,$H1451,$B:$B,"&gt;="&amp;INT($B1451),$B:$B,"&lt;"&amp;(INT($B1451)+1)))</f>
        <v/>
      </c>
      <c r="F1451" s="19" t="str">
        <f aca="false">IF($A1451="","",IF(ISNA(MATCH($H1451,Buffers!$AE:$AE,0)),"Not on Buffers",IF(NOT(ISNUMBER($B1451)),"Needs a date",IF(INT($B1451)&lt;PlanDate,"Past due",IF(INT($B1451)=PlanDate,"Due today",IF(AND(INDEX(Buffers!$L:$L,MATCH($H1451,Buffers!$AE:$AE,0))="Planned",$E1451&gt;0,INT($B1451)&lt;=PlanDate+ROUNDUP(IF(ISNUMBER(SpikeHorizon),SpikeHorizon,INDEX(Buffers!$D:$D,MATCH($H1451,Buffers!$AE:$AE,0))),0),$E1451&gt;=SpikePct*INDEX(Buffers!$P:$P,MATCH($H1451,Buffers!$AE:$AE,0))),"Spike","Not qualified"))))))</f>
        <v/>
      </c>
      <c r="G1451" s="8" t="str">
        <f aca="false">IF($A1451="","",IF(OR($F1451="Past due",$F1451="Due today",$F1451="Spike"),$C1451,0))</f>
        <v/>
      </c>
      <c r="H1451" s="8" t="str">
        <f aca="false">IF($A1451="","",SUBSTITUTE(SUBSTITUTE(SUBSTITUTE($A1451&amp;"","~","~~"),"*","~*"),"?","~?"))</f>
        <v/>
      </c>
    </row>
    <row r="1452" customFormat="false" ht="15" hidden="false" customHeight="false" outlineLevel="0" collapsed="false">
      <c r="A1452" s="11"/>
      <c r="B1452" s="6"/>
      <c r="C1452" s="11"/>
      <c r="D1452" s="11"/>
      <c r="E1452" s="8" t="str">
        <f aca="false">IF($A1452="","",SUMIFS($C:$C,$A:$A,$H1452,$B:$B,"&gt;="&amp;INT($B1452),$B:$B,"&lt;"&amp;(INT($B1452)+1)))</f>
        <v/>
      </c>
      <c r="F1452" s="19" t="str">
        <f aca="false">IF($A1452="","",IF(ISNA(MATCH($H1452,Buffers!$AE:$AE,0)),"Not on Buffers",IF(NOT(ISNUMBER($B1452)),"Needs a date",IF(INT($B1452)&lt;PlanDate,"Past due",IF(INT($B1452)=PlanDate,"Due today",IF(AND(INDEX(Buffers!$L:$L,MATCH($H1452,Buffers!$AE:$AE,0))="Planned",$E1452&gt;0,INT($B1452)&lt;=PlanDate+ROUNDUP(IF(ISNUMBER(SpikeHorizon),SpikeHorizon,INDEX(Buffers!$D:$D,MATCH($H1452,Buffers!$AE:$AE,0))),0),$E1452&gt;=SpikePct*INDEX(Buffers!$P:$P,MATCH($H1452,Buffers!$AE:$AE,0))),"Spike","Not qualified"))))))</f>
        <v/>
      </c>
      <c r="G1452" s="8" t="str">
        <f aca="false">IF($A1452="","",IF(OR($F1452="Past due",$F1452="Due today",$F1452="Spike"),$C1452,0))</f>
        <v/>
      </c>
      <c r="H1452" s="8" t="str">
        <f aca="false">IF($A1452="","",SUBSTITUTE(SUBSTITUTE(SUBSTITUTE($A1452&amp;"","~","~~"),"*","~*"),"?","~?"))</f>
        <v/>
      </c>
    </row>
    <row r="1453" customFormat="false" ht="15" hidden="false" customHeight="false" outlineLevel="0" collapsed="false">
      <c r="A1453" s="11"/>
      <c r="B1453" s="6"/>
      <c r="C1453" s="11"/>
      <c r="D1453" s="11"/>
      <c r="E1453" s="8" t="str">
        <f aca="false">IF($A1453="","",SUMIFS($C:$C,$A:$A,$H1453,$B:$B,"&gt;="&amp;INT($B1453),$B:$B,"&lt;"&amp;(INT($B1453)+1)))</f>
        <v/>
      </c>
      <c r="F1453" s="19" t="str">
        <f aca="false">IF($A1453="","",IF(ISNA(MATCH($H1453,Buffers!$AE:$AE,0)),"Not on Buffers",IF(NOT(ISNUMBER($B1453)),"Needs a date",IF(INT($B1453)&lt;PlanDate,"Past due",IF(INT($B1453)=PlanDate,"Due today",IF(AND(INDEX(Buffers!$L:$L,MATCH($H1453,Buffers!$AE:$AE,0))="Planned",$E1453&gt;0,INT($B1453)&lt;=PlanDate+ROUNDUP(IF(ISNUMBER(SpikeHorizon),SpikeHorizon,INDEX(Buffers!$D:$D,MATCH($H1453,Buffers!$AE:$AE,0))),0),$E1453&gt;=SpikePct*INDEX(Buffers!$P:$P,MATCH($H1453,Buffers!$AE:$AE,0))),"Spike","Not qualified"))))))</f>
        <v/>
      </c>
      <c r="G1453" s="8" t="str">
        <f aca="false">IF($A1453="","",IF(OR($F1453="Past due",$F1453="Due today",$F1453="Spike"),$C1453,0))</f>
        <v/>
      </c>
      <c r="H1453" s="8" t="str">
        <f aca="false">IF($A1453="","",SUBSTITUTE(SUBSTITUTE(SUBSTITUTE($A1453&amp;"","~","~~"),"*","~*"),"?","~?"))</f>
        <v/>
      </c>
    </row>
    <row r="1454" customFormat="false" ht="15" hidden="false" customHeight="false" outlineLevel="0" collapsed="false">
      <c r="A1454" s="11"/>
      <c r="B1454" s="6"/>
      <c r="C1454" s="11"/>
      <c r="D1454" s="11"/>
      <c r="E1454" s="8" t="str">
        <f aca="false">IF($A1454="","",SUMIFS($C:$C,$A:$A,$H1454,$B:$B,"&gt;="&amp;INT($B1454),$B:$B,"&lt;"&amp;(INT($B1454)+1)))</f>
        <v/>
      </c>
      <c r="F1454" s="19" t="str">
        <f aca="false">IF($A1454="","",IF(ISNA(MATCH($H1454,Buffers!$AE:$AE,0)),"Not on Buffers",IF(NOT(ISNUMBER($B1454)),"Needs a date",IF(INT($B1454)&lt;PlanDate,"Past due",IF(INT($B1454)=PlanDate,"Due today",IF(AND(INDEX(Buffers!$L:$L,MATCH($H1454,Buffers!$AE:$AE,0))="Planned",$E1454&gt;0,INT($B1454)&lt;=PlanDate+ROUNDUP(IF(ISNUMBER(SpikeHorizon),SpikeHorizon,INDEX(Buffers!$D:$D,MATCH($H1454,Buffers!$AE:$AE,0))),0),$E1454&gt;=SpikePct*INDEX(Buffers!$P:$P,MATCH($H1454,Buffers!$AE:$AE,0))),"Spike","Not qualified"))))))</f>
        <v/>
      </c>
      <c r="G1454" s="8" t="str">
        <f aca="false">IF($A1454="","",IF(OR($F1454="Past due",$F1454="Due today",$F1454="Spike"),$C1454,0))</f>
        <v/>
      </c>
      <c r="H1454" s="8" t="str">
        <f aca="false">IF($A1454="","",SUBSTITUTE(SUBSTITUTE(SUBSTITUTE($A1454&amp;"","~","~~"),"*","~*"),"?","~?"))</f>
        <v/>
      </c>
    </row>
    <row r="1455" customFormat="false" ht="15" hidden="false" customHeight="false" outlineLevel="0" collapsed="false">
      <c r="A1455" s="11"/>
      <c r="B1455" s="6"/>
      <c r="C1455" s="11"/>
      <c r="D1455" s="11"/>
      <c r="E1455" s="8" t="str">
        <f aca="false">IF($A1455="","",SUMIFS($C:$C,$A:$A,$H1455,$B:$B,"&gt;="&amp;INT($B1455),$B:$B,"&lt;"&amp;(INT($B1455)+1)))</f>
        <v/>
      </c>
      <c r="F1455" s="19" t="str">
        <f aca="false">IF($A1455="","",IF(ISNA(MATCH($H1455,Buffers!$AE:$AE,0)),"Not on Buffers",IF(NOT(ISNUMBER($B1455)),"Needs a date",IF(INT($B1455)&lt;PlanDate,"Past due",IF(INT($B1455)=PlanDate,"Due today",IF(AND(INDEX(Buffers!$L:$L,MATCH($H1455,Buffers!$AE:$AE,0))="Planned",$E1455&gt;0,INT($B1455)&lt;=PlanDate+ROUNDUP(IF(ISNUMBER(SpikeHorizon),SpikeHorizon,INDEX(Buffers!$D:$D,MATCH($H1455,Buffers!$AE:$AE,0))),0),$E1455&gt;=SpikePct*INDEX(Buffers!$P:$P,MATCH($H1455,Buffers!$AE:$AE,0))),"Spike","Not qualified"))))))</f>
        <v/>
      </c>
      <c r="G1455" s="8" t="str">
        <f aca="false">IF($A1455="","",IF(OR($F1455="Past due",$F1455="Due today",$F1455="Spike"),$C1455,0))</f>
        <v/>
      </c>
      <c r="H1455" s="8" t="str">
        <f aca="false">IF($A1455="","",SUBSTITUTE(SUBSTITUTE(SUBSTITUTE($A1455&amp;"","~","~~"),"*","~*"),"?","~?"))</f>
        <v/>
      </c>
    </row>
    <row r="1456" customFormat="false" ht="15" hidden="false" customHeight="false" outlineLevel="0" collapsed="false">
      <c r="A1456" s="11"/>
      <c r="B1456" s="6"/>
      <c r="C1456" s="11"/>
      <c r="D1456" s="11"/>
      <c r="E1456" s="8" t="str">
        <f aca="false">IF($A1456="","",SUMIFS($C:$C,$A:$A,$H1456,$B:$B,"&gt;="&amp;INT($B1456),$B:$B,"&lt;"&amp;(INT($B1456)+1)))</f>
        <v/>
      </c>
      <c r="F1456" s="19" t="str">
        <f aca="false">IF($A1456="","",IF(ISNA(MATCH($H1456,Buffers!$AE:$AE,0)),"Not on Buffers",IF(NOT(ISNUMBER($B1456)),"Needs a date",IF(INT($B1456)&lt;PlanDate,"Past due",IF(INT($B1456)=PlanDate,"Due today",IF(AND(INDEX(Buffers!$L:$L,MATCH($H1456,Buffers!$AE:$AE,0))="Planned",$E1456&gt;0,INT($B1456)&lt;=PlanDate+ROUNDUP(IF(ISNUMBER(SpikeHorizon),SpikeHorizon,INDEX(Buffers!$D:$D,MATCH($H1456,Buffers!$AE:$AE,0))),0),$E1456&gt;=SpikePct*INDEX(Buffers!$P:$P,MATCH($H1456,Buffers!$AE:$AE,0))),"Spike","Not qualified"))))))</f>
        <v/>
      </c>
      <c r="G1456" s="8" t="str">
        <f aca="false">IF($A1456="","",IF(OR($F1456="Past due",$F1456="Due today",$F1456="Spike"),$C1456,0))</f>
        <v/>
      </c>
      <c r="H1456" s="8" t="str">
        <f aca="false">IF($A1456="","",SUBSTITUTE(SUBSTITUTE(SUBSTITUTE($A1456&amp;"","~","~~"),"*","~*"),"?","~?"))</f>
        <v/>
      </c>
    </row>
    <row r="1457" customFormat="false" ht="15" hidden="false" customHeight="false" outlineLevel="0" collapsed="false">
      <c r="A1457" s="11"/>
      <c r="B1457" s="6"/>
      <c r="C1457" s="11"/>
      <c r="D1457" s="11"/>
      <c r="E1457" s="8" t="str">
        <f aca="false">IF($A1457="","",SUMIFS($C:$C,$A:$A,$H1457,$B:$B,"&gt;="&amp;INT($B1457),$B:$B,"&lt;"&amp;(INT($B1457)+1)))</f>
        <v/>
      </c>
      <c r="F1457" s="19" t="str">
        <f aca="false">IF($A1457="","",IF(ISNA(MATCH($H1457,Buffers!$AE:$AE,0)),"Not on Buffers",IF(NOT(ISNUMBER($B1457)),"Needs a date",IF(INT($B1457)&lt;PlanDate,"Past due",IF(INT($B1457)=PlanDate,"Due today",IF(AND(INDEX(Buffers!$L:$L,MATCH($H1457,Buffers!$AE:$AE,0))="Planned",$E1457&gt;0,INT($B1457)&lt;=PlanDate+ROUNDUP(IF(ISNUMBER(SpikeHorizon),SpikeHorizon,INDEX(Buffers!$D:$D,MATCH($H1457,Buffers!$AE:$AE,0))),0),$E1457&gt;=SpikePct*INDEX(Buffers!$P:$P,MATCH($H1457,Buffers!$AE:$AE,0))),"Spike","Not qualified"))))))</f>
        <v/>
      </c>
      <c r="G1457" s="8" t="str">
        <f aca="false">IF($A1457="","",IF(OR($F1457="Past due",$F1457="Due today",$F1457="Spike"),$C1457,0))</f>
        <v/>
      </c>
      <c r="H1457" s="8" t="str">
        <f aca="false">IF($A1457="","",SUBSTITUTE(SUBSTITUTE(SUBSTITUTE($A1457&amp;"","~","~~"),"*","~*"),"?","~?"))</f>
        <v/>
      </c>
    </row>
    <row r="1458" customFormat="false" ht="15" hidden="false" customHeight="false" outlineLevel="0" collapsed="false">
      <c r="A1458" s="11"/>
      <c r="B1458" s="6"/>
      <c r="C1458" s="11"/>
      <c r="D1458" s="11"/>
      <c r="E1458" s="8" t="str">
        <f aca="false">IF($A1458="","",SUMIFS($C:$C,$A:$A,$H1458,$B:$B,"&gt;="&amp;INT($B1458),$B:$B,"&lt;"&amp;(INT($B1458)+1)))</f>
        <v/>
      </c>
      <c r="F1458" s="19" t="str">
        <f aca="false">IF($A1458="","",IF(ISNA(MATCH($H1458,Buffers!$AE:$AE,0)),"Not on Buffers",IF(NOT(ISNUMBER($B1458)),"Needs a date",IF(INT($B1458)&lt;PlanDate,"Past due",IF(INT($B1458)=PlanDate,"Due today",IF(AND(INDEX(Buffers!$L:$L,MATCH($H1458,Buffers!$AE:$AE,0))="Planned",$E1458&gt;0,INT($B1458)&lt;=PlanDate+ROUNDUP(IF(ISNUMBER(SpikeHorizon),SpikeHorizon,INDEX(Buffers!$D:$D,MATCH($H1458,Buffers!$AE:$AE,0))),0),$E1458&gt;=SpikePct*INDEX(Buffers!$P:$P,MATCH($H1458,Buffers!$AE:$AE,0))),"Spike","Not qualified"))))))</f>
        <v/>
      </c>
      <c r="G1458" s="8" t="str">
        <f aca="false">IF($A1458="","",IF(OR($F1458="Past due",$F1458="Due today",$F1458="Spike"),$C1458,0))</f>
        <v/>
      </c>
      <c r="H1458" s="8" t="str">
        <f aca="false">IF($A1458="","",SUBSTITUTE(SUBSTITUTE(SUBSTITUTE($A1458&amp;"","~","~~"),"*","~*"),"?","~?"))</f>
        <v/>
      </c>
    </row>
    <row r="1459" customFormat="false" ht="15" hidden="false" customHeight="false" outlineLevel="0" collapsed="false">
      <c r="A1459" s="11"/>
      <c r="B1459" s="6"/>
      <c r="C1459" s="11"/>
      <c r="D1459" s="11"/>
      <c r="E1459" s="8" t="str">
        <f aca="false">IF($A1459="","",SUMIFS($C:$C,$A:$A,$H1459,$B:$B,"&gt;="&amp;INT($B1459),$B:$B,"&lt;"&amp;(INT($B1459)+1)))</f>
        <v/>
      </c>
      <c r="F1459" s="19" t="str">
        <f aca="false">IF($A1459="","",IF(ISNA(MATCH($H1459,Buffers!$AE:$AE,0)),"Not on Buffers",IF(NOT(ISNUMBER($B1459)),"Needs a date",IF(INT($B1459)&lt;PlanDate,"Past due",IF(INT($B1459)=PlanDate,"Due today",IF(AND(INDEX(Buffers!$L:$L,MATCH($H1459,Buffers!$AE:$AE,0))="Planned",$E1459&gt;0,INT($B1459)&lt;=PlanDate+ROUNDUP(IF(ISNUMBER(SpikeHorizon),SpikeHorizon,INDEX(Buffers!$D:$D,MATCH($H1459,Buffers!$AE:$AE,0))),0),$E1459&gt;=SpikePct*INDEX(Buffers!$P:$P,MATCH($H1459,Buffers!$AE:$AE,0))),"Spike","Not qualified"))))))</f>
        <v/>
      </c>
      <c r="G1459" s="8" t="str">
        <f aca="false">IF($A1459="","",IF(OR($F1459="Past due",$F1459="Due today",$F1459="Spike"),$C1459,0))</f>
        <v/>
      </c>
      <c r="H1459" s="8" t="str">
        <f aca="false">IF($A1459="","",SUBSTITUTE(SUBSTITUTE(SUBSTITUTE($A1459&amp;"","~","~~"),"*","~*"),"?","~?"))</f>
        <v/>
      </c>
    </row>
    <row r="1460" customFormat="false" ht="15" hidden="false" customHeight="false" outlineLevel="0" collapsed="false">
      <c r="A1460" s="11"/>
      <c r="B1460" s="6"/>
      <c r="C1460" s="11"/>
      <c r="D1460" s="11"/>
      <c r="E1460" s="8" t="str">
        <f aca="false">IF($A1460="","",SUMIFS($C:$C,$A:$A,$H1460,$B:$B,"&gt;="&amp;INT($B1460),$B:$B,"&lt;"&amp;(INT($B1460)+1)))</f>
        <v/>
      </c>
      <c r="F1460" s="19" t="str">
        <f aca="false">IF($A1460="","",IF(ISNA(MATCH($H1460,Buffers!$AE:$AE,0)),"Not on Buffers",IF(NOT(ISNUMBER($B1460)),"Needs a date",IF(INT($B1460)&lt;PlanDate,"Past due",IF(INT($B1460)=PlanDate,"Due today",IF(AND(INDEX(Buffers!$L:$L,MATCH($H1460,Buffers!$AE:$AE,0))="Planned",$E1460&gt;0,INT($B1460)&lt;=PlanDate+ROUNDUP(IF(ISNUMBER(SpikeHorizon),SpikeHorizon,INDEX(Buffers!$D:$D,MATCH($H1460,Buffers!$AE:$AE,0))),0),$E1460&gt;=SpikePct*INDEX(Buffers!$P:$P,MATCH($H1460,Buffers!$AE:$AE,0))),"Spike","Not qualified"))))))</f>
        <v/>
      </c>
      <c r="G1460" s="8" t="str">
        <f aca="false">IF($A1460="","",IF(OR($F1460="Past due",$F1460="Due today",$F1460="Spike"),$C1460,0))</f>
        <v/>
      </c>
      <c r="H1460" s="8" t="str">
        <f aca="false">IF($A1460="","",SUBSTITUTE(SUBSTITUTE(SUBSTITUTE($A1460&amp;"","~","~~"),"*","~*"),"?","~?"))</f>
        <v/>
      </c>
    </row>
    <row r="1461" customFormat="false" ht="15" hidden="false" customHeight="false" outlineLevel="0" collapsed="false">
      <c r="A1461" s="11"/>
      <c r="B1461" s="6"/>
      <c r="C1461" s="11"/>
      <c r="D1461" s="11"/>
      <c r="E1461" s="8" t="str">
        <f aca="false">IF($A1461="","",SUMIFS($C:$C,$A:$A,$H1461,$B:$B,"&gt;="&amp;INT($B1461),$B:$B,"&lt;"&amp;(INT($B1461)+1)))</f>
        <v/>
      </c>
      <c r="F1461" s="19" t="str">
        <f aca="false">IF($A1461="","",IF(ISNA(MATCH($H1461,Buffers!$AE:$AE,0)),"Not on Buffers",IF(NOT(ISNUMBER($B1461)),"Needs a date",IF(INT($B1461)&lt;PlanDate,"Past due",IF(INT($B1461)=PlanDate,"Due today",IF(AND(INDEX(Buffers!$L:$L,MATCH($H1461,Buffers!$AE:$AE,0))="Planned",$E1461&gt;0,INT($B1461)&lt;=PlanDate+ROUNDUP(IF(ISNUMBER(SpikeHorizon),SpikeHorizon,INDEX(Buffers!$D:$D,MATCH($H1461,Buffers!$AE:$AE,0))),0),$E1461&gt;=SpikePct*INDEX(Buffers!$P:$P,MATCH($H1461,Buffers!$AE:$AE,0))),"Spike","Not qualified"))))))</f>
        <v/>
      </c>
      <c r="G1461" s="8" t="str">
        <f aca="false">IF($A1461="","",IF(OR($F1461="Past due",$F1461="Due today",$F1461="Spike"),$C1461,0))</f>
        <v/>
      </c>
      <c r="H1461" s="8" t="str">
        <f aca="false">IF($A1461="","",SUBSTITUTE(SUBSTITUTE(SUBSTITUTE($A1461&amp;"","~","~~"),"*","~*"),"?","~?"))</f>
        <v/>
      </c>
    </row>
    <row r="1462" customFormat="false" ht="15" hidden="false" customHeight="false" outlineLevel="0" collapsed="false">
      <c r="A1462" s="11"/>
      <c r="B1462" s="6"/>
      <c r="C1462" s="11"/>
      <c r="D1462" s="11"/>
      <c r="E1462" s="8" t="str">
        <f aca="false">IF($A1462="","",SUMIFS($C:$C,$A:$A,$H1462,$B:$B,"&gt;="&amp;INT($B1462),$B:$B,"&lt;"&amp;(INT($B1462)+1)))</f>
        <v/>
      </c>
      <c r="F1462" s="19" t="str">
        <f aca="false">IF($A1462="","",IF(ISNA(MATCH($H1462,Buffers!$AE:$AE,0)),"Not on Buffers",IF(NOT(ISNUMBER($B1462)),"Needs a date",IF(INT($B1462)&lt;PlanDate,"Past due",IF(INT($B1462)=PlanDate,"Due today",IF(AND(INDEX(Buffers!$L:$L,MATCH($H1462,Buffers!$AE:$AE,0))="Planned",$E1462&gt;0,INT($B1462)&lt;=PlanDate+ROUNDUP(IF(ISNUMBER(SpikeHorizon),SpikeHorizon,INDEX(Buffers!$D:$D,MATCH($H1462,Buffers!$AE:$AE,0))),0),$E1462&gt;=SpikePct*INDEX(Buffers!$P:$P,MATCH($H1462,Buffers!$AE:$AE,0))),"Spike","Not qualified"))))))</f>
        <v/>
      </c>
      <c r="G1462" s="8" t="str">
        <f aca="false">IF($A1462="","",IF(OR($F1462="Past due",$F1462="Due today",$F1462="Spike"),$C1462,0))</f>
        <v/>
      </c>
      <c r="H1462" s="8" t="str">
        <f aca="false">IF($A1462="","",SUBSTITUTE(SUBSTITUTE(SUBSTITUTE($A1462&amp;"","~","~~"),"*","~*"),"?","~?"))</f>
        <v/>
      </c>
    </row>
    <row r="1463" customFormat="false" ht="15" hidden="false" customHeight="false" outlineLevel="0" collapsed="false">
      <c r="A1463" s="11"/>
      <c r="B1463" s="6"/>
      <c r="C1463" s="11"/>
      <c r="D1463" s="11"/>
      <c r="E1463" s="8" t="str">
        <f aca="false">IF($A1463="","",SUMIFS($C:$C,$A:$A,$H1463,$B:$B,"&gt;="&amp;INT($B1463),$B:$B,"&lt;"&amp;(INT($B1463)+1)))</f>
        <v/>
      </c>
      <c r="F1463" s="19" t="str">
        <f aca="false">IF($A1463="","",IF(ISNA(MATCH($H1463,Buffers!$AE:$AE,0)),"Not on Buffers",IF(NOT(ISNUMBER($B1463)),"Needs a date",IF(INT($B1463)&lt;PlanDate,"Past due",IF(INT($B1463)=PlanDate,"Due today",IF(AND(INDEX(Buffers!$L:$L,MATCH($H1463,Buffers!$AE:$AE,0))="Planned",$E1463&gt;0,INT($B1463)&lt;=PlanDate+ROUNDUP(IF(ISNUMBER(SpikeHorizon),SpikeHorizon,INDEX(Buffers!$D:$D,MATCH($H1463,Buffers!$AE:$AE,0))),0),$E1463&gt;=SpikePct*INDEX(Buffers!$P:$P,MATCH($H1463,Buffers!$AE:$AE,0))),"Spike","Not qualified"))))))</f>
        <v/>
      </c>
      <c r="G1463" s="8" t="str">
        <f aca="false">IF($A1463="","",IF(OR($F1463="Past due",$F1463="Due today",$F1463="Spike"),$C1463,0))</f>
        <v/>
      </c>
      <c r="H1463" s="8" t="str">
        <f aca="false">IF($A1463="","",SUBSTITUTE(SUBSTITUTE(SUBSTITUTE($A1463&amp;"","~","~~"),"*","~*"),"?","~?"))</f>
        <v/>
      </c>
    </row>
    <row r="1464" customFormat="false" ht="15" hidden="false" customHeight="false" outlineLevel="0" collapsed="false">
      <c r="A1464" s="11"/>
      <c r="B1464" s="6"/>
      <c r="C1464" s="11"/>
      <c r="D1464" s="11"/>
      <c r="E1464" s="8" t="str">
        <f aca="false">IF($A1464="","",SUMIFS($C:$C,$A:$A,$H1464,$B:$B,"&gt;="&amp;INT($B1464),$B:$B,"&lt;"&amp;(INT($B1464)+1)))</f>
        <v/>
      </c>
      <c r="F1464" s="19" t="str">
        <f aca="false">IF($A1464="","",IF(ISNA(MATCH($H1464,Buffers!$AE:$AE,0)),"Not on Buffers",IF(NOT(ISNUMBER($B1464)),"Needs a date",IF(INT($B1464)&lt;PlanDate,"Past due",IF(INT($B1464)=PlanDate,"Due today",IF(AND(INDEX(Buffers!$L:$L,MATCH($H1464,Buffers!$AE:$AE,0))="Planned",$E1464&gt;0,INT($B1464)&lt;=PlanDate+ROUNDUP(IF(ISNUMBER(SpikeHorizon),SpikeHorizon,INDEX(Buffers!$D:$D,MATCH($H1464,Buffers!$AE:$AE,0))),0),$E1464&gt;=SpikePct*INDEX(Buffers!$P:$P,MATCH($H1464,Buffers!$AE:$AE,0))),"Spike","Not qualified"))))))</f>
        <v/>
      </c>
      <c r="G1464" s="8" t="str">
        <f aca="false">IF($A1464="","",IF(OR($F1464="Past due",$F1464="Due today",$F1464="Spike"),$C1464,0))</f>
        <v/>
      </c>
      <c r="H1464" s="8" t="str">
        <f aca="false">IF($A1464="","",SUBSTITUTE(SUBSTITUTE(SUBSTITUTE($A1464&amp;"","~","~~"),"*","~*"),"?","~?"))</f>
        <v/>
      </c>
    </row>
    <row r="1465" customFormat="false" ht="15" hidden="false" customHeight="false" outlineLevel="0" collapsed="false">
      <c r="A1465" s="11"/>
      <c r="B1465" s="6"/>
      <c r="C1465" s="11"/>
      <c r="D1465" s="11"/>
      <c r="E1465" s="8" t="str">
        <f aca="false">IF($A1465="","",SUMIFS($C:$C,$A:$A,$H1465,$B:$B,"&gt;="&amp;INT($B1465),$B:$B,"&lt;"&amp;(INT($B1465)+1)))</f>
        <v/>
      </c>
      <c r="F1465" s="19" t="str">
        <f aca="false">IF($A1465="","",IF(ISNA(MATCH($H1465,Buffers!$AE:$AE,0)),"Not on Buffers",IF(NOT(ISNUMBER($B1465)),"Needs a date",IF(INT($B1465)&lt;PlanDate,"Past due",IF(INT($B1465)=PlanDate,"Due today",IF(AND(INDEX(Buffers!$L:$L,MATCH($H1465,Buffers!$AE:$AE,0))="Planned",$E1465&gt;0,INT($B1465)&lt;=PlanDate+ROUNDUP(IF(ISNUMBER(SpikeHorizon),SpikeHorizon,INDEX(Buffers!$D:$D,MATCH($H1465,Buffers!$AE:$AE,0))),0),$E1465&gt;=SpikePct*INDEX(Buffers!$P:$P,MATCH($H1465,Buffers!$AE:$AE,0))),"Spike","Not qualified"))))))</f>
        <v/>
      </c>
      <c r="G1465" s="8" t="str">
        <f aca="false">IF($A1465="","",IF(OR($F1465="Past due",$F1465="Due today",$F1465="Spike"),$C1465,0))</f>
        <v/>
      </c>
      <c r="H1465" s="8" t="str">
        <f aca="false">IF($A1465="","",SUBSTITUTE(SUBSTITUTE(SUBSTITUTE($A1465&amp;"","~","~~"),"*","~*"),"?","~?"))</f>
        <v/>
      </c>
    </row>
    <row r="1466" customFormat="false" ht="15" hidden="false" customHeight="false" outlineLevel="0" collapsed="false">
      <c r="A1466" s="11"/>
      <c r="B1466" s="6"/>
      <c r="C1466" s="11"/>
      <c r="D1466" s="11"/>
      <c r="E1466" s="8" t="str">
        <f aca="false">IF($A1466="","",SUMIFS($C:$C,$A:$A,$H1466,$B:$B,"&gt;="&amp;INT($B1466),$B:$B,"&lt;"&amp;(INT($B1466)+1)))</f>
        <v/>
      </c>
      <c r="F1466" s="19" t="str">
        <f aca="false">IF($A1466="","",IF(ISNA(MATCH($H1466,Buffers!$AE:$AE,0)),"Not on Buffers",IF(NOT(ISNUMBER($B1466)),"Needs a date",IF(INT($B1466)&lt;PlanDate,"Past due",IF(INT($B1466)=PlanDate,"Due today",IF(AND(INDEX(Buffers!$L:$L,MATCH($H1466,Buffers!$AE:$AE,0))="Planned",$E1466&gt;0,INT($B1466)&lt;=PlanDate+ROUNDUP(IF(ISNUMBER(SpikeHorizon),SpikeHorizon,INDEX(Buffers!$D:$D,MATCH($H1466,Buffers!$AE:$AE,0))),0),$E1466&gt;=SpikePct*INDEX(Buffers!$P:$P,MATCH($H1466,Buffers!$AE:$AE,0))),"Spike","Not qualified"))))))</f>
        <v/>
      </c>
      <c r="G1466" s="8" t="str">
        <f aca="false">IF($A1466="","",IF(OR($F1466="Past due",$F1466="Due today",$F1466="Spike"),$C1466,0))</f>
        <v/>
      </c>
      <c r="H1466" s="8" t="str">
        <f aca="false">IF($A1466="","",SUBSTITUTE(SUBSTITUTE(SUBSTITUTE($A1466&amp;"","~","~~"),"*","~*"),"?","~?"))</f>
        <v/>
      </c>
    </row>
    <row r="1467" customFormat="false" ht="15" hidden="false" customHeight="false" outlineLevel="0" collapsed="false">
      <c r="A1467" s="11"/>
      <c r="B1467" s="6"/>
      <c r="C1467" s="11"/>
      <c r="D1467" s="11"/>
      <c r="E1467" s="8" t="str">
        <f aca="false">IF($A1467="","",SUMIFS($C:$C,$A:$A,$H1467,$B:$B,"&gt;="&amp;INT($B1467),$B:$B,"&lt;"&amp;(INT($B1467)+1)))</f>
        <v/>
      </c>
      <c r="F1467" s="19" t="str">
        <f aca="false">IF($A1467="","",IF(ISNA(MATCH($H1467,Buffers!$AE:$AE,0)),"Not on Buffers",IF(NOT(ISNUMBER($B1467)),"Needs a date",IF(INT($B1467)&lt;PlanDate,"Past due",IF(INT($B1467)=PlanDate,"Due today",IF(AND(INDEX(Buffers!$L:$L,MATCH($H1467,Buffers!$AE:$AE,0))="Planned",$E1467&gt;0,INT($B1467)&lt;=PlanDate+ROUNDUP(IF(ISNUMBER(SpikeHorizon),SpikeHorizon,INDEX(Buffers!$D:$D,MATCH($H1467,Buffers!$AE:$AE,0))),0),$E1467&gt;=SpikePct*INDEX(Buffers!$P:$P,MATCH($H1467,Buffers!$AE:$AE,0))),"Spike","Not qualified"))))))</f>
        <v/>
      </c>
      <c r="G1467" s="8" t="str">
        <f aca="false">IF($A1467="","",IF(OR($F1467="Past due",$F1467="Due today",$F1467="Spike"),$C1467,0))</f>
        <v/>
      </c>
      <c r="H1467" s="8" t="str">
        <f aca="false">IF($A1467="","",SUBSTITUTE(SUBSTITUTE(SUBSTITUTE($A1467&amp;"","~","~~"),"*","~*"),"?","~?"))</f>
        <v/>
      </c>
    </row>
    <row r="1468" customFormat="false" ht="15" hidden="false" customHeight="false" outlineLevel="0" collapsed="false">
      <c r="A1468" s="11"/>
      <c r="B1468" s="6"/>
      <c r="C1468" s="11"/>
      <c r="D1468" s="11"/>
      <c r="E1468" s="8" t="str">
        <f aca="false">IF($A1468="","",SUMIFS($C:$C,$A:$A,$H1468,$B:$B,"&gt;="&amp;INT($B1468),$B:$B,"&lt;"&amp;(INT($B1468)+1)))</f>
        <v/>
      </c>
      <c r="F1468" s="19" t="str">
        <f aca="false">IF($A1468="","",IF(ISNA(MATCH($H1468,Buffers!$AE:$AE,0)),"Not on Buffers",IF(NOT(ISNUMBER($B1468)),"Needs a date",IF(INT($B1468)&lt;PlanDate,"Past due",IF(INT($B1468)=PlanDate,"Due today",IF(AND(INDEX(Buffers!$L:$L,MATCH($H1468,Buffers!$AE:$AE,0))="Planned",$E1468&gt;0,INT($B1468)&lt;=PlanDate+ROUNDUP(IF(ISNUMBER(SpikeHorizon),SpikeHorizon,INDEX(Buffers!$D:$D,MATCH($H1468,Buffers!$AE:$AE,0))),0),$E1468&gt;=SpikePct*INDEX(Buffers!$P:$P,MATCH($H1468,Buffers!$AE:$AE,0))),"Spike","Not qualified"))))))</f>
        <v/>
      </c>
      <c r="G1468" s="8" t="str">
        <f aca="false">IF($A1468="","",IF(OR($F1468="Past due",$F1468="Due today",$F1468="Spike"),$C1468,0))</f>
        <v/>
      </c>
      <c r="H1468" s="8" t="str">
        <f aca="false">IF($A1468="","",SUBSTITUTE(SUBSTITUTE(SUBSTITUTE($A1468&amp;"","~","~~"),"*","~*"),"?","~?"))</f>
        <v/>
      </c>
    </row>
    <row r="1469" customFormat="false" ht="15" hidden="false" customHeight="false" outlineLevel="0" collapsed="false">
      <c r="A1469" s="11"/>
      <c r="B1469" s="6"/>
      <c r="C1469" s="11"/>
      <c r="D1469" s="11"/>
      <c r="E1469" s="8" t="str">
        <f aca="false">IF($A1469="","",SUMIFS($C:$C,$A:$A,$H1469,$B:$B,"&gt;="&amp;INT($B1469),$B:$B,"&lt;"&amp;(INT($B1469)+1)))</f>
        <v/>
      </c>
      <c r="F1469" s="19" t="str">
        <f aca="false">IF($A1469="","",IF(ISNA(MATCH($H1469,Buffers!$AE:$AE,0)),"Not on Buffers",IF(NOT(ISNUMBER($B1469)),"Needs a date",IF(INT($B1469)&lt;PlanDate,"Past due",IF(INT($B1469)=PlanDate,"Due today",IF(AND(INDEX(Buffers!$L:$L,MATCH($H1469,Buffers!$AE:$AE,0))="Planned",$E1469&gt;0,INT($B1469)&lt;=PlanDate+ROUNDUP(IF(ISNUMBER(SpikeHorizon),SpikeHorizon,INDEX(Buffers!$D:$D,MATCH($H1469,Buffers!$AE:$AE,0))),0),$E1469&gt;=SpikePct*INDEX(Buffers!$P:$P,MATCH($H1469,Buffers!$AE:$AE,0))),"Spike","Not qualified"))))))</f>
        <v/>
      </c>
      <c r="G1469" s="8" t="str">
        <f aca="false">IF($A1469="","",IF(OR($F1469="Past due",$F1469="Due today",$F1469="Spike"),$C1469,0))</f>
        <v/>
      </c>
      <c r="H1469" s="8" t="str">
        <f aca="false">IF($A1469="","",SUBSTITUTE(SUBSTITUTE(SUBSTITUTE($A1469&amp;"","~","~~"),"*","~*"),"?","~?"))</f>
        <v/>
      </c>
    </row>
    <row r="1470" customFormat="false" ht="15" hidden="false" customHeight="false" outlineLevel="0" collapsed="false">
      <c r="A1470" s="11"/>
      <c r="B1470" s="6"/>
      <c r="C1470" s="11"/>
      <c r="D1470" s="11"/>
      <c r="E1470" s="8" t="str">
        <f aca="false">IF($A1470="","",SUMIFS($C:$C,$A:$A,$H1470,$B:$B,"&gt;="&amp;INT($B1470),$B:$B,"&lt;"&amp;(INT($B1470)+1)))</f>
        <v/>
      </c>
      <c r="F1470" s="19" t="str">
        <f aca="false">IF($A1470="","",IF(ISNA(MATCH($H1470,Buffers!$AE:$AE,0)),"Not on Buffers",IF(NOT(ISNUMBER($B1470)),"Needs a date",IF(INT($B1470)&lt;PlanDate,"Past due",IF(INT($B1470)=PlanDate,"Due today",IF(AND(INDEX(Buffers!$L:$L,MATCH($H1470,Buffers!$AE:$AE,0))="Planned",$E1470&gt;0,INT($B1470)&lt;=PlanDate+ROUNDUP(IF(ISNUMBER(SpikeHorizon),SpikeHorizon,INDEX(Buffers!$D:$D,MATCH($H1470,Buffers!$AE:$AE,0))),0),$E1470&gt;=SpikePct*INDEX(Buffers!$P:$P,MATCH($H1470,Buffers!$AE:$AE,0))),"Spike","Not qualified"))))))</f>
        <v/>
      </c>
      <c r="G1470" s="8" t="str">
        <f aca="false">IF($A1470="","",IF(OR($F1470="Past due",$F1470="Due today",$F1470="Spike"),$C1470,0))</f>
        <v/>
      </c>
      <c r="H1470" s="8" t="str">
        <f aca="false">IF($A1470="","",SUBSTITUTE(SUBSTITUTE(SUBSTITUTE($A1470&amp;"","~","~~"),"*","~*"),"?","~?"))</f>
        <v/>
      </c>
    </row>
    <row r="1471" customFormat="false" ht="15" hidden="false" customHeight="false" outlineLevel="0" collapsed="false">
      <c r="A1471" s="11"/>
      <c r="B1471" s="6"/>
      <c r="C1471" s="11"/>
      <c r="D1471" s="11"/>
      <c r="E1471" s="8" t="str">
        <f aca="false">IF($A1471="","",SUMIFS($C:$C,$A:$A,$H1471,$B:$B,"&gt;="&amp;INT($B1471),$B:$B,"&lt;"&amp;(INT($B1471)+1)))</f>
        <v/>
      </c>
      <c r="F1471" s="19" t="str">
        <f aca="false">IF($A1471="","",IF(ISNA(MATCH($H1471,Buffers!$AE:$AE,0)),"Not on Buffers",IF(NOT(ISNUMBER($B1471)),"Needs a date",IF(INT($B1471)&lt;PlanDate,"Past due",IF(INT($B1471)=PlanDate,"Due today",IF(AND(INDEX(Buffers!$L:$L,MATCH($H1471,Buffers!$AE:$AE,0))="Planned",$E1471&gt;0,INT($B1471)&lt;=PlanDate+ROUNDUP(IF(ISNUMBER(SpikeHorizon),SpikeHorizon,INDEX(Buffers!$D:$D,MATCH($H1471,Buffers!$AE:$AE,0))),0),$E1471&gt;=SpikePct*INDEX(Buffers!$P:$P,MATCH($H1471,Buffers!$AE:$AE,0))),"Spike","Not qualified"))))))</f>
        <v/>
      </c>
      <c r="G1471" s="8" t="str">
        <f aca="false">IF($A1471="","",IF(OR($F1471="Past due",$F1471="Due today",$F1471="Spike"),$C1471,0))</f>
        <v/>
      </c>
      <c r="H1471" s="8" t="str">
        <f aca="false">IF($A1471="","",SUBSTITUTE(SUBSTITUTE(SUBSTITUTE($A1471&amp;"","~","~~"),"*","~*"),"?","~?"))</f>
        <v/>
      </c>
    </row>
    <row r="1472" customFormat="false" ht="15" hidden="false" customHeight="false" outlineLevel="0" collapsed="false">
      <c r="A1472" s="11"/>
      <c r="B1472" s="6"/>
      <c r="C1472" s="11"/>
      <c r="D1472" s="11"/>
      <c r="E1472" s="8" t="str">
        <f aca="false">IF($A1472="","",SUMIFS($C:$C,$A:$A,$H1472,$B:$B,"&gt;="&amp;INT($B1472),$B:$B,"&lt;"&amp;(INT($B1472)+1)))</f>
        <v/>
      </c>
      <c r="F1472" s="19" t="str">
        <f aca="false">IF($A1472="","",IF(ISNA(MATCH($H1472,Buffers!$AE:$AE,0)),"Not on Buffers",IF(NOT(ISNUMBER($B1472)),"Needs a date",IF(INT($B1472)&lt;PlanDate,"Past due",IF(INT($B1472)=PlanDate,"Due today",IF(AND(INDEX(Buffers!$L:$L,MATCH($H1472,Buffers!$AE:$AE,0))="Planned",$E1472&gt;0,INT($B1472)&lt;=PlanDate+ROUNDUP(IF(ISNUMBER(SpikeHorizon),SpikeHorizon,INDEX(Buffers!$D:$D,MATCH($H1472,Buffers!$AE:$AE,0))),0),$E1472&gt;=SpikePct*INDEX(Buffers!$P:$P,MATCH($H1472,Buffers!$AE:$AE,0))),"Spike","Not qualified"))))))</f>
        <v/>
      </c>
      <c r="G1472" s="8" t="str">
        <f aca="false">IF($A1472="","",IF(OR($F1472="Past due",$F1472="Due today",$F1472="Spike"),$C1472,0))</f>
        <v/>
      </c>
      <c r="H1472" s="8" t="str">
        <f aca="false">IF($A1472="","",SUBSTITUTE(SUBSTITUTE(SUBSTITUTE($A1472&amp;"","~","~~"),"*","~*"),"?","~?"))</f>
        <v/>
      </c>
    </row>
    <row r="1473" customFormat="false" ht="15" hidden="false" customHeight="false" outlineLevel="0" collapsed="false">
      <c r="A1473" s="11"/>
      <c r="B1473" s="6"/>
      <c r="C1473" s="11"/>
      <c r="D1473" s="11"/>
      <c r="E1473" s="8" t="str">
        <f aca="false">IF($A1473="","",SUMIFS($C:$C,$A:$A,$H1473,$B:$B,"&gt;="&amp;INT($B1473),$B:$B,"&lt;"&amp;(INT($B1473)+1)))</f>
        <v/>
      </c>
      <c r="F1473" s="19" t="str">
        <f aca="false">IF($A1473="","",IF(ISNA(MATCH($H1473,Buffers!$AE:$AE,0)),"Not on Buffers",IF(NOT(ISNUMBER($B1473)),"Needs a date",IF(INT($B1473)&lt;PlanDate,"Past due",IF(INT($B1473)=PlanDate,"Due today",IF(AND(INDEX(Buffers!$L:$L,MATCH($H1473,Buffers!$AE:$AE,0))="Planned",$E1473&gt;0,INT($B1473)&lt;=PlanDate+ROUNDUP(IF(ISNUMBER(SpikeHorizon),SpikeHorizon,INDEX(Buffers!$D:$D,MATCH($H1473,Buffers!$AE:$AE,0))),0),$E1473&gt;=SpikePct*INDEX(Buffers!$P:$P,MATCH($H1473,Buffers!$AE:$AE,0))),"Spike","Not qualified"))))))</f>
        <v/>
      </c>
      <c r="G1473" s="8" t="str">
        <f aca="false">IF($A1473="","",IF(OR($F1473="Past due",$F1473="Due today",$F1473="Spike"),$C1473,0))</f>
        <v/>
      </c>
      <c r="H1473" s="8" t="str">
        <f aca="false">IF($A1473="","",SUBSTITUTE(SUBSTITUTE(SUBSTITUTE($A1473&amp;"","~","~~"),"*","~*"),"?","~?"))</f>
        <v/>
      </c>
    </row>
    <row r="1474" customFormat="false" ht="15" hidden="false" customHeight="false" outlineLevel="0" collapsed="false">
      <c r="A1474" s="11"/>
      <c r="B1474" s="6"/>
      <c r="C1474" s="11"/>
      <c r="D1474" s="11"/>
      <c r="E1474" s="8" t="str">
        <f aca="false">IF($A1474="","",SUMIFS($C:$C,$A:$A,$H1474,$B:$B,"&gt;="&amp;INT($B1474),$B:$B,"&lt;"&amp;(INT($B1474)+1)))</f>
        <v/>
      </c>
      <c r="F1474" s="19" t="str">
        <f aca="false">IF($A1474="","",IF(ISNA(MATCH($H1474,Buffers!$AE:$AE,0)),"Not on Buffers",IF(NOT(ISNUMBER($B1474)),"Needs a date",IF(INT($B1474)&lt;PlanDate,"Past due",IF(INT($B1474)=PlanDate,"Due today",IF(AND(INDEX(Buffers!$L:$L,MATCH($H1474,Buffers!$AE:$AE,0))="Planned",$E1474&gt;0,INT($B1474)&lt;=PlanDate+ROUNDUP(IF(ISNUMBER(SpikeHorizon),SpikeHorizon,INDEX(Buffers!$D:$D,MATCH($H1474,Buffers!$AE:$AE,0))),0),$E1474&gt;=SpikePct*INDEX(Buffers!$P:$P,MATCH($H1474,Buffers!$AE:$AE,0))),"Spike","Not qualified"))))))</f>
        <v/>
      </c>
      <c r="G1474" s="8" t="str">
        <f aca="false">IF($A1474="","",IF(OR($F1474="Past due",$F1474="Due today",$F1474="Spike"),$C1474,0))</f>
        <v/>
      </c>
      <c r="H1474" s="8" t="str">
        <f aca="false">IF($A1474="","",SUBSTITUTE(SUBSTITUTE(SUBSTITUTE($A1474&amp;"","~","~~"),"*","~*"),"?","~?"))</f>
        <v/>
      </c>
    </row>
    <row r="1475" customFormat="false" ht="15" hidden="false" customHeight="false" outlineLevel="0" collapsed="false">
      <c r="A1475" s="11"/>
      <c r="B1475" s="6"/>
      <c r="C1475" s="11"/>
      <c r="D1475" s="11"/>
      <c r="E1475" s="8" t="str">
        <f aca="false">IF($A1475="","",SUMIFS($C:$C,$A:$A,$H1475,$B:$B,"&gt;="&amp;INT($B1475),$B:$B,"&lt;"&amp;(INT($B1475)+1)))</f>
        <v/>
      </c>
      <c r="F1475" s="19" t="str">
        <f aca="false">IF($A1475="","",IF(ISNA(MATCH($H1475,Buffers!$AE:$AE,0)),"Not on Buffers",IF(NOT(ISNUMBER($B1475)),"Needs a date",IF(INT($B1475)&lt;PlanDate,"Past due",IF(INT($B1475)=PlanDate,"Due today",IF(AND(INDEX(Buffers!$L:$L,MATCH($H1475,Buffers!$AE:$AE,0))="Planned",$E1475&gt;0,INT($B1475)&lt;=PlanDate+ROUNDUP(IF(ISNUMBER(SpikeHorizon),SpikeHorizon,INDEX(Buffers!$D:$D,MATCH($H1475,Buffers!$AE:$AE,0))),0),$E1475&gt;=SpikePct*INDEX(Buffers!$P:$P,MATCH($H1475,Buffers!$AE:$AE,0))),"Spike","Not qualified"))))))</f>
        <v/>
      </c>
      <c r="G1475" s="8" t="str">
        <f aca="false">IF($A1475="","",IF(OR($F1475="Past due",$F1475="Due today",$F1475="Spike"),$C1475,0))</f>
        <v/>
      </c>
      <c r="H1475" s="8" t="str">
        <f aca="false">IF($A1475="","",SUBSTITUTE(SUBSTITUTE(SUBSTITUTE($A1475&amp;"","~","~~"),"*","~*"),"?","~?"))</f>
        <v/>
      </c>
    </row>
    <row r="1476" customFormat="false" ht="15" hidden="false" customHeight="false" outlineLevel="0" collapsed="false">
      <c r="A1476" s="11"/>
      <c r="B1476" s="6"/>
      <c r="C1476" s="11"/>
      <c r="D1476" s="11"/>
      <c r="E1476" s="8" t="str">
        <f aca="false">IF($A1476="","",SUMIFS($C:$C,$A:$A,$H1476,$B:$B,"&gt;="&amp;INT($B1476),$B:$B,"&lt;"&amp;(INT($B1476)+1)))</f>
        <v/>
      </c>
      <c r="F1476" s="19" t="str">
        <f aca="false">IF($A1476="","",IF(ISNA(MATCH($H1476,Buffers!$AE:$AE,0)),"Not on Buffers",IF(NOT(ISNUMBER($B1476)),"Needs a date",IF(INT($B1476)&lt;PlanDate,"Past due",IF(INT($B1476)=PlanDate,"Due today",IF(AND(INDEX(Buffers!$L:$L,MATCH($H1476,Buffers!$AE:$AE,0))="Planned",$E1476&gt;0,INT($B1476)&lt;=PlanDate+ROUNDUP(IF(ISNUMBER(SpikeHorizon),SpikeHorizon,INDEX(Buffers!$D:$D,MATCH($H1476,Buffers!$AE:$AE,0))),0),$E1476&gt;=SpikePct*INDEX(Buffers!$P:$P,MATCH($H1476,Buffers!$AE:$AE,0))),"Spike","Not qualified"))))))</f>
        <v/>
      </c>
      <c r="G1476" s="8" t="str">
        <f aca="false">IF($A1476="","",IF(OR($F1476="Past due",$F1476="Due today",$F1476="Spike"),$C1476,0))</f>
        <v/>
      </c>
      <c r="H1476" s="8" t="str">
        <f aca="false">IF($A1476="","",SUBSTITUTE(SUBSTITUTE(SUBSTITUTE($A1476&amp;"","~","~~"),"*","~*"),"?","~?"))</f>
        <v/>
      </c>
    </row>
    <row r="1477" customFormat="false" ht="15" hidden="false" customHeight="false" outlineLevel="0" collapsed="false">
      <c r="A1477" s="11"/>
      <c r="B1477" s="6"/>
      <c r="C1477" s="11"/>
      <c r="D1477" s="11"/>
      <c r="E1477" s="8" t="str">
        <f aca="false">IF($A1477="","",SUMIFS($C:$C,$A:$A,$H1477,$B:$B,"&gt;="&amp;INT($B1477),$B:$B,"&lt;"&amp;(INT($B1477)+1)))</f>
        <v/>
      </c>
      <c r="F1477" s="19" t="str">
        <f aca="false">IF($A1477="","",IF(ISNA(MATCH($H1477,Buffers!$AE:$AE,0)),"Not on Buffers",IF(NOT(ISNUMBER($B1477)),"Needs a date",IF(INT($B1477)&lt;PlanDate,"Past due",IF(INT($B1477)=PlanDate,"Due today",IF(AND(INDEX(Buffers!$L:$L,MATCH($H1477,Buffers!$AE:$AE,0))="Planned",$E1477&gt;0,INT($B1477)&lt;=PlanDate+ROUNDUP(IF(ISNUMBER(SpikeHorizon),SpikeHorizon,INDEX(Buffers!$D:$D,MATCH($H1477,Buffers!$AE:$AE,0))),0),$E1477&gt;=SpikePct*INDEX(Buffers!$P:$P,MATCH($H1477,Buffers!$AE:$AE,0))),"Spike","Not qualified"))))))</f>
        <v/>
      </c>
      <c r="G1477" s="8" t="str">
        <f aca="false">IF($A1477="","",IF(OR($F1477="Past due",$F1477="Due today",$F1477="Spike"),$C1477,0))</f>
        <v/>
      </c>
      <c r="H1477" s="8" t="str">
        <f aca="false">IF($A1477="","",SUBSTITUTE(SUBSTITUTE(SUBSTITUTE($A1477&amp;"","~","~~"),"*","~*"),"?","~?"))</f>
        <v/>
      </c>
    </row>
    <row r="1478" customFormat="false" ht="15" hidden="false" customHeight="false" outlineLevel="0" collapsed="false">
      <c r="A1478" s="11"/>
      <c r="B1478" s="6"/>
      <c r="C1478" s="11"/>
      <c r="D1478" s="11"/>
      <c r="E1478" s="8" t="str">
        <f aca="false">IF($A1478="","",SUMIFS($C:$C,$A:$A,$H1478,$B:$B,"&gt;="&amp;INT($B1478),$B:$B,"&lt;"&amp;(INT($B1478)+1)))</f>
        <v/>
      </c>
      <c r="F1478" s="19" t="str">
        <f aca="false">IF($A1478="","",IF(ISNA(MATCH($H1478,Buffers!$AE:$AE,0)),"Not on Buffers",IF(NOT(ISNUMBER($B1478)),"Needs a date",IF(INT($B1478)&lt;PlanDate,"Past due",IF(INT($B1478)=PlanDate,"Due today",IF(AND(INDEX(Buffers!$L:$L,MATCH($H1478,Buffers!$AE:$AE,0))="Planned",$E1478&gt;0,INT($B1478)&lt;=PlanDate+ROUNDUP(IF(ISNUMBER(SpikeHorizon),SpikeHorizon,INDEX(Buffers!$D:$D,MATCH($H1478,Buffers!$AE:$AE,0))),0),$E1478&gt;=SpikePct*INDEX(Buffers!$P:$P,MATCH($H1478,Buffers!$AE:$AE,0))),"Spike","Not qualified"))))))</f>
        <v/>
      </c>
      <c r="G1478" s="8" t="str">
        <f aca="false">IF($A1478="","",IF(OR($F1478="Past due",$F1478="Due today",$F1478="Spike"),$C1478,0))</f>
        <v/>
      </c>
      <c r="H1478" s="8" t="str">
        <f aca="false">IF($A1478="","",SUBSTITUTE(SUBSTITUTE(SUBSTITUTE($A1478&amp;"","~","~~"),"*","~*"),"?","~?"))</f>
        <v/>
      </c>
    </row>
    <row r="1479" customFormat="false" ht="15" hidden="false" customHeight="false" outlineLevel="0" collapsed="false">
      <c r="A1479" s="11"/>
      <c r="B1479" s="6"/>
      <c r="C1479" s="11"/>
      <c r="D1479" s="11"/>
      <c r="E1479" s="8" t="str">
        <f aca="false">IF($A1479="","",SUMIFS($C:$C,$A:$A,$H1479,$B:$B,"&gt;="&amp;INT($B1479),$B:$B,"&lt;"&amp;(INT($B1479)+1)))</f>
        <v/>
      </c>
      <c r="F1479" s="19" t="str">
        <f aca="false">IF($A1479="","",IF(ISNA(MATCH($H1479,Buffers!$AE:$AE,0)),"Not on Buffers",IF(NOT(ISNUMBER($B1479)),"Needs a date",IF(INT($B1479)&lt;PlanDate,"Past due",IF(INT($B1479)=PlanDate,"Due today",IF(AND(INDEX(Buffers!$L:$L,MATCH($H1479,Buffers!$AE:$AE,0))="Planned",$E1479&gt;0,INT($B1479)&lt;=PlanDate+ROUNDUP(IF(ISNUMBER(SpikeHorizon),SpikeHorizon,INDEX(Buffers!$D:$D,MATCH($H1479,Buffers!$AE:$AE,0))),0),$E1479&gt;=SpikePct*INDEX(Buffers!$P:$P,MATCH($H1479,Buffers!$AE:$AE,0))),"Spike","Not qualified"))))))</f>
        <v/>
      </c>
      <c r="G1479" s="8" t="str">
        <f aca="false">IF($A1479="","",IF(OR($F1479="Past due",$F1479="Due today",$F1479="Spike"),$C1479,0))</f>
        <v/>
      </c>
      <c r="H1479" s="8" t="str">
        <f aca="false">IF($A1479="","",SUBSTITUTE(SUBSTITUTE(SUBSTITUTE($A1479&amp;"","~","~~"),"*","~*"),"?","~?"))</f>
        <v/>
      </c>
    </row>
    <row r="1480" customFormat="false" ht="15" hidden="false" customHeight="false" outlineLevel="0" collapsed="false">
      <c r="A1480" s="11"/>
      <c r="B1480" s="6"/>
      <c r="C1480" s="11"/>
      <c r="D1480" s="11"/>
      <c r="E1480" s="8" t="str">
        <f aca="false">IF($A1480="","",SUMIFS($C:$C,$A:$A,$H1480,$B:$B,"&gt;="&amp;INT($B1480),$B:$B,"&lt;"&amp;(INT($B1480)+1)))</f>
        <v/>
      </c>
      <c r="F1480" s="19" t="str">
        <f aca="false">IF($A1480="","",IF(ISNA(MATCH($H1480,Buffers!$AE:$AE,0)),"Not on Buffers",IF(NOT(ISNUMBER($B1480)),"Needs a date",IF(INT($B1480)&lt;PlanDate,"Past due",IF(INT($B1480)=PlanDate,"Due today",IF(AND(INDEX(Buffers!$L:$L,MATCH($H1480,Buffers!$AE:$AE,0))="Planned",$E1480&gt;0,INT($B1480)&lt;=PlanDate+ROUNDUP(IF(ISNUMBER(SpikeHorizon),SpikeHorizon,INDEX(Buffers!$D:$D,MATCH($H1480,Buffers!$AE:$AE,0))),0),$E1480&gt;=SpikePct*INDEX(Buffers!$P:$P,MATCH($H1480,Buffers!$AE:$AE,0))),"Spike","Not qualified"))))))</f>
        <v/>
      </c>
      <c r="G1480" s="8" t="str">
        <f aca="false">IF($A1480="","",IF(OR($F1480="Past due",$F1480="Due today",$F1480="Spike"),$C1480,0))</f>
        <v/>
      </c>
      <c r="H1480" s="8" t="str">
        <f aca="false">IF($A1480="","",SUBSTITUTE(SUBSTITUTE(SUBSTITUTE($A1480&amp;"","~","~~"),"*","~*"),"?","~?"))</f>
        <v/>
      </c>
    </row>
    <row r="1481" customFormat="false" ht="15" hidden="false" customHeight="false" outlineLevel="0" collapsed="false">
      <c r="A1481" s="11"/>
      <c r="B1481" s="6"/>
      <c r="C1481" s="11"/>
      <c r="D1481" s="11"/>
      <c r="E1481" s="8" t="str">
        <f aca="false">IF($A1481="","",SUMIFS($C:$C,$A:$A,$H1481,$B:$B,"&gt;="&amp;INT($B1481),$B:$B,"&lt;"&amp;(INT($B1481)+1)))</f>
        <v/>
      </c>
      <c r="F1481" s="19" t="str">
        <f aca="false">IF($A1481="","",IF(ISNA(MATCH($H1481,Buffers!$AE:$AE,0)),"Not on Buffers",IF(NOT(ISNUMBER($B1481)),"Needs a date",IF(INT($B1481)&lt;PlanDate,"Past due",IF(INT($B1481)=PlanDate,"Due today",IF(AND(INDEX(Buffers!$L:$L,MATCH($H1481,Buffers!$AE:$AE,0))="Planned",$E1481&gt;0,INT($B1481)&lt;=PlanDate+ROUNDUP(IF(ISNUMBER(SpikeHorizon),SpikeHorizon,INDEX(Buffers!$D:$D,MATCH($H1481,Buffers!$AE:$AE,0))),0),$E1481&gt;=SpikePct*INDEX(Buffers!$P:$P,MATCH($H1481,Buffers!$AE:$AE,0))),"Spike","Not qualified"))))))</f>
        <v/>
      </c>
      <c r="G1481" s="8" t="str">
        <f aca="false">IF($A1481="","",IF(OR($F1481="Past due",$F1481="Due today",$F1481="Spike"),$C1481,0))</f>
        <v/>
      </c>
      <c r="H1481" s="8" t="str">
        <f aca="false">IF($A1481="","",SUBSTITUTE(SUBSTITUTE(SUBSTITUTE($A1481&amp;"","~","~~"),"*","~*"),"?","~?"))</f>
        <v/>
      </c>
    </row>
    <row r="1482" customFormat="false" ht="15" hidden="false" customHeight="false" outlineLevel="0" collapsed="false">
      <c r="A1482" s="11"/>
      <c r="B1482" s="6"/>
      <c r="C1482" s="11"/>
      <c r="D1482" s="11"/>
      <c r="E1482" s="8" t="str">
        <f aca="false">IF($A1482="","",SUMIFS($C:$C,$A:$A,$H1482,$B:$B,"&gt;="&amp;INT($B1482),$B:$B,"&lt;"&amp;(INT($B1482)+1)))</f>
        <v/>
      </c>
      <c r="F1482" s="19" t="str">
        <f aca="false">IF($A1482="","",IF(ISNA(MATCH($H1482,Buffers!$AE:$AE,0)),"Not on Buffers",IF(NOT(ISNUMBER($B1482)),"Needs a date",IF(INT($B1482)&lt;PlanDate,"Past due",IF(INT($B1482)=PlanDate,"Due today",IF(AND(INDEX(Buffers!$L:$L,MATCH($H1482,Buffers!$AE:$AE,0))="Planned",$E1482&gt;0,INT($B1482)&lt;=PlanDate+ROUNDUP(IF(ISNUMBER(SpikeHorizon),SpikeHorizon,INDEX(Buffers!$D:$D,MATCH($H1482,Buffers!$AE:$AE,0))),0),$E1482&gt;=SpikePct*INDEX(Buffers!$P:$P,MATCH($H1482,Buffers!$AE:$AE,0))),"Spike","Not qualified"))))))</f>
        <v/>
      </c>
      <c r="G1482" s="8" t="str">
        <f aca="false">IF($A1482="","",IF(OR($F1482="Past due",$F1482="Due today",$F1482="Spike"),$C1482,0))</f>
        <v/>
      </c>
      <c r="H1482" s="8" t="str">
        <f aca="false">IF($A1482="","",SUBSTITUTE(SUBSTITUTE(SUBSTITUTE($A1482&amp;"","~","~~"),"*","~*"),"?","~?"))</f>
        <v/>
      </c>
    </row>
    <row r="1483" customFormat="false" ht="15" hidden="false" customHeight="false" outlineLevel="0" collapsed="false">
      <c r="A1483" s="11"/>
      <c r="B1483" s="6"/>
      <c r="C1483" s="11"/>
      <c r="D1483" s="11"/>
      <c r="E1483" s="8" t="str">
        <f aca="false">IF($A1483="","",SUMIFS($C:$C,$A:$A,$H1483,$B:$B,"&gt;="&amp;INT($B1483),$B:$B,"&lt;"&amp;(INT($B1483)+1)))</f>
        <v/>
      </c>
      <c r="F1483" s="19" t="str">
        <f aca="false">IF($A1483="","",IF(ISNA(MATCH($H1483,Buffers!$AE:$AE,0)),"Not on Buffers",IF(NOT(ISNUMBER($B1483)),"Needs a date",IF(INT($B1483)&lt;PlanDate,"Past due",IF(INT($B1483)=PlanDate,"Due today",IF(AND(INDEX(Buffers!$L:$L,MATCH($H1483,Buffers!$AE:$AE,0))="Planned",$E1483&gt;0,INT($B1483)&lt;=PlanDate+ROUNDUP(IF(ISNUMBER(SpikeHorizon),SpikeHorizon,INDEX(Buffers!$D:$D,MATCH($H1483,Buffers!$AE:$AE,0))),0),$E1483&gt;=SpikePct*INDEX(Buffers!$P:$P,MATCH($H1483,Buffers!$AE:$AE,0))),"Spike","Not qualified"))))))</f>
        <v/>
      </c>
      <c r="G1483" s="8" t="str">
        <f aca="false">IF($A1483="","",IF(OR($F1483="Past due",$F1483="Due today",$F1483="Spike"),$C1483,0))</f>
        <v/>
      </c>
      <c r="H1483" s="8" t="str">
        <f aca="false">IF($A1483="","",SUBSTITUTE(SUBSTITUTE(SUBSTITUTE($A1483&amp;"","~","~~"),"*","~*"),"?","~?"))</f>
        <v/>
      </c>
    </row>
    <row r="1484" customFormat="false" ht="15" hidden="false" customHeight="false" outlineLevel="0" collapsed="false">
      <c r="A1484" s="11"/>
      <c r="B1484" s="6"/>
      <c r="C1484" s="11"/>
      <c r="D1484" s="11"/>
      <c r="E1484" s="8" t="str">
        <f aca="false">IF($A1484="","",SUMIFS($C:$C,$A:$A,$H1484,$B:$B,"&gt;="&amp;INT($B1484),$B:$B,"&lt;"&amp;(INT($B1484)+1)))</f>
        <v/>
      </c>
      <c r="F1484" s="19" t="str">
        <f aca="false">IF($A1484="","",IF(ISNA(MATCH($H1484,Buffers!$AE:$AE,0)),"Not on Buffers",IF(NOT(ISNUMBER($B1484)),"Needs a date",IF(INT($B1484)&lt;PlanDate,"Past due",IF(INT($B1484)=PlanDate,"Due today",IF(AND(INDEX(Buffers!$L:$L,MATCH($H1484,Buffers!$AE:$AE,0))="Planned",$E1484&gt;0,INT($B1484)&lt;=PlanDate+ROUNDUP(IF(ISNUMBER(SpikeHorizon),SpikeHorizon,INDEX(Buffers!$D:$D,MATCH($H1484,Buffers!$AE:$AE,0))),0),$E1484&gt;=SpikePct*INDEX(Buffers!$P:$P,MATCH($H1484,Buffers!$AE:$AE,0))),"Spike","Not qualified"))))))</f>
        <v/>
      </c>
      <c r="G1484" s="8" t="str">
        <f aca="false">IF($A1484="","",IF(OR($F1484="Past due",$F1484="Due today",$F1484="Spike"),$C1484,0))</f>
        <v/>
      </c>
      <c r="H1484" s="8" t="str">
        <f aca="false">IF($A1484="","",SUBSTITUTE(SUBSTITUTE(SUBSTITUTE($A1484&amp;"","~","~~"),"*","~*"),"?","~?"))</f>
        <v/>
      </c>
    </row>
    <row r="1485" customFormat="false" ht="15" hidden="false" customHeight="false" outlineLevel="0" collapsed="false">
      <c r="A1485" s="11"/>
      <c r="B1485" s="6"/>
      <c r="C1485" s="11"/>
      <c r="D1485" s="11"/>
      <c r="E1485" s="8" t="str">
        <f aca="false">IF($A1485="","",SUMIFS($C:$C,$A:$A,$H1485,$B:$B,"&gt;="&amp;INT($B1485),$B:$B,"&lt;"&amp;(INT($B1485)+1)))</f>
        <v/>
      </c>
      <c r="F1485" s="19" t="str">
        <f aca="false">IF($A1485="","",IF(ISNA(MATCH($H1485,Buffers!$AE:$AE,0)),"Not on Buffers",IF(NOT(ISNUMBER($B1485)),"Needs a date",IF(INT($B1485)&lt;PlanDate,"Past due",IF(INT($B1485)=PlanDate,"Due today",IF(AND(INDEX(Buffers!$L:$L,MATCH($H1485,Buffers!$AE:$AE,0))="Planned",$E1485&gt;0,INT($B1485)&lt;=PlanDate+ROUNDUP(IF(ISNUMBER(SpikeHorizon),SpikeHorizon,INDEX(Buffers!$D:$D,MATCH($H1485,Buffers!$AE:$AE,0))),0),$E1485&gt;=SpikePct*INDEX(Buffers!$P:$P,MATCH($H1485,Buffers!$AE:$AE,0))),"Spike","Not qualified"))))))</f>
        <v/>
      </c>
      <c r="G1485" s="8" t="str">
        <f aca="false">IF($A1485="","",IF(OR($F1485="Past due",$F1485="Due today",$F1485="Spike"),$C1485,0))</f>
        <v/>
      </c>
      <c r="H1485" s="8" t="str">
        <f aca="false">IF($A1485="","",SUBSTITUTE(SUBSTITUTE(SUBSTITUTE($A1485&amp;"","~","~~"),"*","~*"),"?","~?"))</f>
        <v/>
      </c>
    </row>
    <row r="1486" customFormat="false" ht="15" hidden="false" customHeight="false" outlineLevel="0" collapsed="false">
      <c r="A1486" s="11"/>
      <c r="B1486" s="6"/>
      <c r="C1486" s="11"/>
      <c r="D1486" s="11"/>
      <c r="E1486" s="8" t="str">
        <f aca="false">IF($A1486="","",SUMIFS($C:$C,$A:$A,$H1486,$B:$B,"&gt;="&amp;INT($B1486),$B:$B,"&lt;"&amp;(INT($B1486)+1)))</f>
        <v/>
      </c>
      <c r="F1486" s="19" t="str">
        <f aca="false">IF($A1486="","",IF(ISNA(MATCH($H1486,Buffers!$AE:$AE,0)),"Not on Buffers",IF(NOT(ISNUMBER($B1486)),"Needs a date",IF(INT($B1486)&lt;PlanDate,"Past due",IF(INT($B1486)=PlanDate,"Due today",IF(AND(INDEX(Buffers!$L:$L,MATCH($H1486,Buffers!$AE:$AE,0))="Planned",$E1486&gt;0,INT($B1486)&lt;=PlanDate+ROUNDUP(IF(ISNUMBER(SpikeHorizon),SpikeHorizon,INDEX(Buffers!$D:$D,MATCH($H1486,Buffers!$AE:$AE,0))),0),$E1486&gt;=SpikePct*INDEX(Buffers!$P:$P,MATCH($H1486,Buffers!$AE:$AE,0))),"Spike","Not qualified"))))))</f>
        <v/>
      </c>
      <c r="G1486" s="8" t="str">
        <f aca="false">IF($A1486="","",IF(OR($F1486="Past due",$F1486="Due today",$F1486="Spike"),$C1486,0))</f>
        <v/>
      </c>
      <c r="H1486" s="8" t="str">
        <f aca="false">IF($A1486="","",SUBSTITUTE(SUBSTITUTE(SUBSTITUTE($A1486&amp;"","~","~~"),"*","~*"),"?","~?"))</f>
        <v/>
      </c>
    </row>
    <row r="1487" customFormat="false" ht="15" hidden="false" customHeight="false" outlineLevel="0" collapsed="false">
      <c r="A1487" s="11"/>
      <c r="B1487" s="6"/>
      <c r="C1487" s="11"/>
      <c r="D1487" s="11"/>
      <c r="E1487" s="8" t="str">
        <f aca="false">IF($A1487="","",SUMIFS($C:$C,$A:$A,$H1487,$B:$B,"&gt;="&amp;INT($B1487),$B:$B,"&lt;"&amp;(INT($B1487)+1)))</f>
        <v/>
      </c>
      <c r="F1487" s="19" t="str">
        <f aca="false">IF($A1487="","",IF(ISNA(MATCH($H1487,Buffers!$AE:$AE,0)),"Not on Buffers",IF(NOT(ISNUMBER($B1487)),"Needs a date",IF(INT($B1487)&lt;PlanDate,"Past due",IF(INT($B1487)=PlanDate,"Due today",IF(AND(INDEX(Buffers!$L:$L,MATCH($H1487,Buffers!$AE:$AE,0))="Planned",$E1487&gt;0,INT($B1487)&lt;=PlanDate+ROUNDUP(IF(ISNUMBER(SpikeHorizon),SpikeHorizon,INDEX(Buffers!$D:$D,MATCH($H1487,Buffers!$AE:$AE,0))),0),$E1487&gt;=SpikePct*INDEX(Buffers!$P:$P,MATCH($H1487,Buffers!$AE:$AE,0))),"Spike","Not qualified"))))))</f>
        <v/>
      </c>
      <c r="G1487" s="8" t="str">
        <f aca="false">IF($A1487="","",IF(OR($F1487="Past due",$F1487="Due today",$F1487="Spike"),$C1487,0))</f>
        <v/>
      </c>
      <c r="H1487" s="8" t="str">
        <f aca="false">IF($A1487="","",SUBSTITUTE(SUBSTITUTE(SUBSTITUTE($A1487&amp;"","~","~~"),"*","~*"),"?","~?"))</f>
        <v/>
      </c>
    </row>
    <row r="1488" customFormat="false" ht="15" hidden="false" customHeight="false" outlineLevel="0" collapsed="false">
      <c r="A1488" s="11"/>
      <c r="B1488" s="6"/>
      <c r="C1488" s="11"/>
      <c r="D1488" s="11"/>
      <c r="E1488" s="8" t="str">
        <f aca="false">IF($A1488="","",SUMIFS($C:$C,$A:$A,$H1488,$B:$B,"&gt;="&amp;INT($B1488),$B:$B,"&lt;"&amp;(INT($B1488)+1)))</f>
        <v/>
      </c>
      <c r="F1488" s="19" t="str">
        <f aca="false">IF($A1488="","",IF(ISNA(MATCH($H1488,Buffers!$AE:$AE,0)),"Not on Buffers",IF(NOT(ISNUMBER($B1488)),"Needs a date",IF(INT($B1488)&lt;PlanDate,"Past due",IF(INT($B1488)=PlanDate,"Due today",IF(AND(INDEX(Buffers!$L:$L,MATCH($H1488,Buffers!$AE:$AE,0))="Planned",$E1488&gt;0,INT($B1488)&lt;=PlanDate+ROUNDUP(IF(ISNUMBER(SpikeHorizon),SpikeHorizon,INDEX(Buffers!$D:$D,MATCH($H1488,Buffers!$AE:$AE,0))),0),$E1488&gt;=SpikePct*INDEX(Buffers!$P:$P,MATCH($H1488,Buffers!$AE:$AE,0))),"Spike","Not qualified"))))))</f>
        <v/>
      </c>
      <c r="G1488" s="8" t="str">
        <f aca="false">IF($A1488="","",IF(OR($F1488="Past due",$F1488="Due today",$F1488="Spike"),$C1488,0))</f>
        <v/>
      </c>
      <c r="H1488" s="8" t="str">
        <f aca="false">IF($A1488="","",SUBSTITUTE(SUBSTITUTE(SUBSTITUTE($A1488&amp;"","~","~~"),"*","~*"),"?","~?"))</f>
        <v/>
      </c>
    </row>
    <row r="1489" customFormat="false" ht="15" hidden="false" customHeight="false" outlineLevel="0" collapsed="false">
      <c r="A1489" s="11"/>
      <c r="B1489" s="6"/>
      <c r="C1489" s="11"/>
      <c r="D1489" s="11"/>
      <c r="E1489" s="8" t="str">
        <f aca="false">IF($A1489="","",SUMIFS($C:$C,$A:$A,$H1489,$B:$B,"&gt;="&amp;INT($B1489),$B:$B,"&lt;"&amp;(INT($B1489)+1)))</f>
        <v/>
      </c>
      <c r="F1489" s="19" t="str">
        <f aca="false">IF($A1489="","",IF(ISNA(MATCH($H1489,Buffers!$AE:$AE,0)),"Not on Buffers",IF(NOT(ISNUMBER($B1489)),"Needs a date",IF(INT($B1489)&lt;PlanDate,"Past due",IF(INT($B1489)=PlanDate,"Due today",IF(AND(INDEX(Buffers!$L:$L,MATCH($H1489,Buffers!$AE:$AE,0))="Planned",$E1489&gt;0,INT($B1489)&lt;=PlanDate+ROUNDUP(IF(ISNUMBER(SpikeHorizon),SpikeHorizon,INDEX(Buffers!$D:$D,MATCH($H1489,Buffers!$AE:$AE,0))),0),$E1489&gt;=SpikePct*INDEX(Buffers!$P:$P,MATCH($H1489,Buffers!$AE:$AE,0))),"Spike","Not qualified"))))))</f>
        <v/>
      </c>
      <c r="G1489" s="8" t="str">
        <f aca="false">IF($A1489="","",IF(OR($F1489="Past due",$F1489="Due today",$F1489="Spike"),$C1489,0))</f>
        <v/>
      </c>
      <c r="H1489" s="8" t="str">
        <f aca="false">IF($A1489="","",SUBSTITUTE(SUBSTITUTE(SUBSTITUTE($A1489&amp;"","~","~~"),"*","~*"),"?","~?"))</f>
        <v/>
      </c>
    </row>
    <row r="1490" customFormat="false" ht="15" hidden="false" customHeight="false" outlineLevel="0" collapsed="false">
      <c r="A1490" s="11"/>
      <c r="B1490" s="6"/>
      <c r="C1490" s="11"/>
      <c r="D1490" s="11"/>
      <c r="E1490" s="8" t="str">
        <f aca="false">IF($A1490="","",SUMIFS($C:$C,$A:$A,$H1490,$B:$B,"&gt;="&amp;INT($B1490),$B:$B,"&lt;"&amp;(INT($B1490)+1)))</f>
        <v/>
      </c>
      <c r="F1490" s="19" t="str">
        <f aca="false">IF($A1490="","",IF(ISNA(MATCH($H1490,Buffers!$AE:$AE,0)),"Not on Buffers",IF(NOT(ISNUMBER($B1490)),"Needs a date",IF(INT($B1490)&lt;PlanDate,"Past due",IF(INT($B1490)=PlanDate,"Due today",IF(AND(INDEX(Buffers!$L:$L,MATCH($H1490,Buffers!$AE:$AE,0))="Planned",$E1490&gt;0,INT($B1490)&lt;=PlanDate+ROUNDUP(IF(ISNUMBER(SpikeHorizon),SpikeHorizon,INDEX(Buffers!$D:$D,MATCH($H1490,Buffers!$AE:$AE,0))),0),$E1490&gt;=SpikePct*INDEX(Buffers!$P:$P,MATCH($H1490,Buffers!$AE:$AE,0))),"Spike","Not qualified"))))))</f>
        <v/>
      </c>
      <c r="G1490" s="8" t="str">
        <f aca="false">IF($A1490="","",IF(OR($F1490="Past due",$F1490="Due today",$F1490="Spike"),$C1490,0))</f>
        <v/>
      </c>
      <c r="H1490" s="8" t="str">
        <f aca="false">IF($A1490="","",SUBSTITUTE(SUBSTITUTE(SUBSTITUTE($A1490&amp;"","~","~~"),"*","~*"),"?","~?"))</f>
        <v/>
      </c>
    </row>
    <row r="1491" customFormat="false" ht="15" hidden="false" customHeight="false" outlineLevel="0" collapsed="false">
      <c r="A1491" s="11"/>
      <c r="B1491" s="6"/>
      <c r="C1491" s="11"/>
      <c r="D1491" s="11"/>
      <c r="E1491" s="8" t="str">
        <f aca="false">IF($A1491="","",SUMIFS($C:$C,$A:$A,$H1491,$B:$B,"&gt;="&amp;INT($B1491),$B:$B,"&lt;"&amp;(INT($B1491)+1)))</f>
        <v/>
      </c>
      <c r="F1491" s="19" t="str">
        <f aca="false">IF($A1491="","",IF(ISNA(MATCH($H1491,Buffers!$AE:$AE,0)),"Not on Buffers",IF(NOT(ISNUMBER($B1491)),"Needs a date",IF(INT($B1491)&lt;PlanDate,"Past due",IF(INT($B1491)=PlanDate,"Due today",IF(AND(INDEX(Buffers!$L:$L,MATCH($H1491,Buffers!$AE:$AE,0))="Planned",$E1491&gt;0,INT($B1491)&lt;=PlanDate+ROUNDUP(IF(ISNUMBER(SpikeHorizon),SpikeHorizon,INDEX(Buffers!$D:$D,MATCH($H1491,Buffers!$AE:$AE,0))),0),$E1491&gt;=SpikePct*INDEX(Buffers!$P:$P,MATCH($H1491,Buffers!$AE:$AE,0))),"Spike","Not qualified"))))))</f>
        <v/>
      </c>
      <c r="G1491" s="8" t="str">
        <f aca="false">IF($A1491="","",IF(OR($F1491="Past due",$F1491="Due today",$F1491="Spike"),$C1491,0))</f>
        <v/>
      </c>
      <c r="H1491" s="8" t="str">
        <f aca="false">IF($A1491="","",SUBSTITUTE(SUBSTITUTE(SUBSTITUTE($A1491&amp;"","~","~~"),"*","~*"),"?","~?"))</f>
        <v/>
      </c>
    </row>
    <row r="1492" customFormat="false" ht="15" hidden="false" customHeight="false" outlineLevel="0" collapsed="false">
      <c r="A1492" s="11"/>
      <c r="B1492" s="6"/>
      <c r="C1492" s="11"/>
      <c r="D1492" s="11"/>
      <c r="E1492" s="8" t="str">
        <f aca="false">IF($A1492="","",SUMIFS($C:$C,$A:$A,$H1492,$B:$B,"&gt;="&amp;INT($B1492),$B:$B,"&lt;"&amp;(INT($B1492)+1)))</f>
        <v/>
      </c>
      <c r="F1492" s="19" t="str">
        <f aca="false">IF($A1492="","",IF(ISNA(MATCH($H1492,Buffers!$AE:$AE,0)),"Not on Buffers",IF(NOT(ISNUMBER($B1492)),"Needs a date",IF(INT($B1492)&lt;PlanDate,"Past due",IF(INT($B1492)=PlanDate,"Due today",IF(AND(INDEX(Buffers!$L:$L,MATCH($H1492,Buffers!$AE:$AE,0))="Planned",$E1492&gt;0,INT($B1492)&lt;=PlanDate+ROUNDUP(IF(ISNUMBER(SpikeHorizon),SpikeHorizon,INDEX(Buffers!$D:$D,MATCH($H1492,Buffers!$AE:$AE,0))),0),$E1492&gt;=SpikePct*INDEX(Buffers!$P:$P,MATCH($H1492,Buffers!$AE:$AE,0))),"Spike","Not qualified"))))))</f>
        <v/>
      </c>
      <c r="G1492" s="8" t="str">
        <f aca="false">IF($A1492="","",IF(OR($F1492="Past due",$F1492="Due today",$F1492="Spike"),$C1492,0))</f>
        <v/>
      </c>
      <c r="H1492" s="8" t="str">
        <f aca="false">IF($A1492="","",SUBSTITUTE(SUBSTITUTE(SUBSTITUTE($A1492&amp;"","~","~~"),"*","~*"),"?","~?"))</f>
        <v/>
      </c>
    </row>
    <row r="1493" customFormat="false" ht="15" hidden="false" customHeight="false" outlineLevel="0" collapsed="false">
      <c r="A1493" s="11"/>
      <c r="B1493" s="6"/>
      <c r="C1493" s="11"/>
      <c r="D1493" s="11"/>
      <c r="E1493" s="8" t="str">
        <f aca="false">IF($A1493="","",SUMIFS($C:$C,$A:$A,$H1493,$B:$B,"&gt;="&amp;INT($B1493),$B:$B,"&lt;"&amp;(INT($B1493)+1)))</f>
        <v/>
      </c>
      <c r="F1493" s="19" t="str">
        <f aca="false">IF($A1493="","",IF(ISNA(MATCH($H1493,Buffers!$AE:$AE,0)),"Not on Buffers",IF(NOT(ISNUMBER($B1493)),"Needs a date",IF(INT($B1493)&lt;PlanDate,"Past due",IF(INT($B1493)=PlanDate,"Due today",IF(AND(INDEX(Buffers!$L:$L,MATCH($H1493,Buffers!$AE:$AE,0))="Planned",$E1493&gt;0,INT($B1493)&lt;=PlanDate+ROUNDUP(IF(ISNUMBER(SpikeHorizon),SpikeHorizon,INDEX(Buffers!$D:$D,MATCH($H1493,Buffers!$AE:$AE,0))),0),$E1493&gt;=SpikePct*INDEX(Buffers!$P:$P,MATCH($H1493,Buffers!$AE:$AE,0))),"Spike","Not qualified"))))))</f>
        <v/>
      </c>
      <c r="G1493" s="8" t="str">
        <f aca="false">IF($A1493="","",IF(OR($F1493="Past due",$F1493="Due today",$F1493="Spike"),$C1493,0))</f>
        <v/>
      </c>
      <c r="H1493" s="8" t="str">
        <f aca="false">IF($A1493="","",SUBSTITUTE(SUBSTITUTE(SUBSTITUTE($A1493&amp;"","~","~~"),"*","~*"),"?","~?"))</f>
        <v/>
      </c>
    </row>
    <row r="1494" customFormat="false" ht="15" hidden="false" customHeight="false" outlineLevel="0" collapsed="false">
      <c r="A1494" s="11"/>
      <c r="B1494" s="6"/>
      <c r="C1494" s="11"/>
      <c r="D1494" s="11"/>
      <c r="E1494" s="8" t="str">
        <f aca="false">IF($A1494="","",SUMIFS($C:$C,$A:$A,$H1494,$B:$B,"&gt;="&amp;INT($B1494),$B:$B,"&lt;"&amp;(INT($B1494)+1)))</f>
        <v/>
      </c>
      <c r="F1494" s="19" t="str">
        <f aca="false">IF($A1494="","",IF(ISNA(MATCH($H1494,Buffers!$AE:$AE,0)),"Not on Buffers",IF(NOT(ISNUMBER($B1494)),"Needs a date",IF(INT($B1494)&lt;PlanDate,"Past due",IF(INT($B1494)=PlanDate,"Due today",IF(AND(INDEX(Buffers!$L:$L,MATCH($H1494,Buffers!$AE:$AE,0))="Planned",$E1494&gt;0,INT($B1494)&lt;=PlanDate+ROUNDUP(IF(ISNUMBER(SpikeHorizon),SpikeHorizon,INDEX(Buffers!$D:$D,MATCH($H1494,Buffers!$AE:$AE,0))),0),$E1494&gt;=SpikePct*INDEX(Buffers!$P:$P,MATCH($H1494,Buffers!$AE:$AE,0))),"Spike","Not qualified"))))))</f>
        <v/>
      </c>
      <c r="G1494" s="8" t="str">
        <f aca="false">IF($A1494="","",IF(OR($F1494="Past due",$F1494="Due today",$F1494="Spike"),$C1494,0))</f>
        <v/>
      </c>
      <c r="H1494" s="8" t="str">
        <f aca="false">IF($A1494="","",SUBSTITUTE(SUBSTITUTE(SUBSTITUTE($A1494&amp;"","~","~~"),"*","~*"),"?","~?"))</f>
        <v/>
      </c>
    </row>
    <row r="1495" customFormat="false" ht="15" hidden="false" customHeight="false" outlineLevel="0" collapsed="false">
      <c r="A1495" s="11"/>
      <c r="B1495" s="6"/>
      <c r="C1495" s="11"/>
      <c r="D1495" s="11"/>
      <c r="E1495" s="8" t="str">
        <f aca="false">IF($A1495="","",SUMIFS($C:$C,$A:$A,$H1495,$B:$B,"&gt;="&amp;INT($B1495),$B:$B,"&lt;"&amp;(INT($B1495)+1)))</f>
        <v/>
      </c>
      <c r="F1495" s="19" t="str">
        <f aca="false">IF($A1495="","",IF(ISNA(MATCH($H1495,Buffers!$AE:$AE,0)),"Not on Buffers",IF(NOT(ISNUMBER($B1495)),"Needs a date",IF(INT($B1495)&lt;PlanDate,"Past due",IF(INT($B1495)=PlanDate,"Due today",IF(AND(INDEX(Buffers!$L:$L,MATCH($H1495,Buffers!$AE:$AE,0))="Planned",$E1495&gt;0,INT($B1495)&lt;=PlanDate+ROUNDUP(IF(ISNUMBER(SpikeHorizon),SpikeHorizon,INDEX(Buffers!$D:$D,MATCH($H1495,Buffers!$AE:$AE,0))),0),$E1495&gt;=SpikePct*INDEX(Buffers!$P:$P,MATCH($H1495,Buffers!$AE:$AE,0))),"Spike","Not qualified"))))))</f>
        <v/>
      </c>
      <c r="G1495" s="8" t="str">
        <f aca="false">IF($A1495="","",IF(OR($F1495="Past due",$F1495="Due today",$F1495="Spike"),$C1495,0))</f>
        <v/>
      </c>
      <c r="H1495" s="8" t="str">
        <f aca="false">IF($A1495="","",SUBSTITUTE(SUBSTITUTE(SUBSTITUTE($A1495&amp;"","~","~~"),"*","~*"),"?","~?"))</f>
        <v/>
      </c>
    </row>
    <row r="1496" customFormat="false" ht="15" hidden="false" customHeight="false" outlineLevel="0" collapsed="false">
      <c r="A1496" s="11"/>
      <c r="B1496" s="6"/>
      <c r="C1496" s="11"/>
      <c r="D1496" s="11"/>
      <c r="E1496" s="8" t="str">
        <f aca="false">IF($A1496="","",SUMIFS($C:$C,$A:$A,$H1496,$B:$B,"&gt;="&amp;INT($B1496),$B:$B,"&lt;"&amp;(INT($B1496)+1)))</f>
        <v/>
      </c>
      <c r="F1496" s="19" t="str">
        <f aca="false">IF($A1496="","",IF(ISNA(MATCH($H1496,Buffers!$AE:$AE,0)),"Not on Buffers",IF(NOT(ISNUMBER($B1496)),"Needs a date",IF(INT($B1496)&lt;PlanDate,"Past due",IF(INT($B1496)=PlanDate,"Due today",IF(AND(INDEX(Buffers!$L:$L,MATCH($H1496,Buffers!$AE:$AE,0))="Planned",$E1496&gt;0,INT($B1496)&lt;=PlanDate+ROUNDUP(IF(ISNUMBER(SpikeHorizon),SpikeHorizon,INDEX(Buffers!$D:$D,MATCH($H1496,Buffers!$AE:$AE,0))),0),$E1496&gt;=SpikePct*INDEX(Buffers!$P:$P,MATCH($H1496,Buffers!$AE:$AE,0))),"Spike","Not qualified"))))))</f>
        <v/>
      </c>
      <c r="G1496" s="8" t="str">
        <f aca="false">IF($A1496="","",IF(OR($F1496="Past due",$F1496="Due today",$F1496="Spike"),$C1496,0))</f>
        <v/>
      </c>
      <c r="H1496" s="8" t="str">
        <f aca="false">IF($A1496="","",SUBSTITUTE(SUBSTITUTE(SUBSTITUTE($A1496&amp;"","~","~~"),"*","~*"),"?","~?"))</f>
        <v/>
      </c>
    </row>
    <row r="1497" customFormat="false" ht="15" hidden="false" customHeight="false" outlineLevel="0" collapsed="false">
      <c r="A1497" s="11"/>
      <c r="B1497" s="6"/>
      <c r="C1497" s="11"/>
      <c r="D1497" s="11"/>
      <c r="E1497" s="8" t="str">
        <f aca="false">IF($A1497="","",SUMIFS($C:$C,$A:$A,$H1497,$B:$B,"&gt;="&amp;INT($B1497),$B:$B,"&lt;"&amp;(INT($B1497)+1)))</f>
        <v/>
      </c>
      <c r="F1497" s="19" t="str">
        <f aca="false">IF($A1497="","",IF(ISNA(MATCH($H1497,Buffers!$AE:$AE,0)),"Not on Buffers",IF(NOT(ISNUMBER($B1497)),"Needs a date",IF(INT($B1497)&lt;PlanDate,"Past due",IF(INT($B1497)=PlanDate,"Due today",IF(AND(INDEX(Buffers!$L:$L,MATCH($H1497,Buffers!$AE:$AE,0))="Planned",$E1497&gt;0,INT($B1497)&lt;=PlanDate+ROUNDUP(IF(ISNUMBER(SpikeHorizon),SpikeHorizon,INDEX(Buffers!$D:$D,MATCH($H1497,Buffers!$AE:$AE,0))),0),$E1497&gt;=SpikePct*INDEX(Buffers!$P:$P,MATCH($H1497,Buffers!$AE:$AE,0))),"Spike","Not qualified"))))))</f>
        <v/>
      </c>
      <c r="G1497" s="8" t="str">
        <f aca="false">IF($A1497="","",IF(OR($F1497="Past due",$F1497="Due today",$F1497="Spike"),$C1497,0))</f>
        <v/>
      </c>
      <c r="H1497" s="8" t="str">
        <f aca="false">IF($A1497="","",SUBSTITUTE(SUBSTITUTE(SUBSTITUTE($A1497&amp;"","~","~~"),"*","~*"),"?","~?"))</f>
        <v/>
      </c>
    </row>
    <row r="1498" customFormat="false" ht="15" hidden="false" customHeight="false" outlineLevel="0" collapsed="false">
      <c r="A1498" s="11"/>
      <c r="B1498" s="6"/>
      <c r="C1498" s="11"/>
      <c r="D1498" s="11"/>
      <c r="E1498" s="8" t="str">
        <f aca="false">IF($A1498="","",SUMIFS($C:$C,$A:$A,$H1498,$B:$B,"&gt;="&amp;INT($B1498),$B:$B,"&lt;"&amp;(INT($B1498)+1)))</f>
        <v/>
      </c>
      <c r="F1498" s="19" t="str">
        <f aca="false">IF($A1498="","",IF(ISNA(MATCH($H1498,Buffers!$AE:$AE,0)),"Not on Buffers",IF(NOT(ISNUMBER($B1498)),"Needs a date",IF(INT($B1498)&lt;PlanDate,"Past due",IF(INT($B1498)=PlanDate,"Due today",IF(AND(INDEX(Buffers!$L:$L,MATCH($H1498,Buffers!$AE:$AE,0))="Planned",$E1498&gt;0,INT($B1498)&lt;=PlanDate+ROUNDUP(IF(ISNUMBER(SpikeHorizon),SpikeHorizon,INDEX(Buffers!$D:$D,MATCH($H1498,Buffers!$AE:$AE,0))),0),$E1498&gt;=SpikePct*INDEX(Buffers!$P:$P,MATCH($H1498,Buffers!$AE:$AE,0))),"Spike","Not qualified"))))))</f>
        <v/>
      </c>
      <c r="G1498" s="8" t="str">
        <f aca="false">IF($A1498="","",IF(OR($F1498="Past due",$F1498="Due today",$F1498="Spike"),$C1498,0))</f>
        <v/>
      </c>
      <c r="H1498" s="8" t="str">
        <f aca="false">IF($A1498="","",SUBSTITUTE(SUBSTITUTE(SUBSTITUTE($A1498&amp;"","~","~~"),"*","~*"),"?","~?"))</f>
        <v/>
      </c>
    </row>
    <row r="1499" customFormat="false" ht="15" hidden="false" customHeight="false" outlineLevel="0" collapsed="false">
      <c r="A1499" s="11"/>
      <c r="B1499" s="6"/>
      <c r="C1499" s="11"/>
      <c r="D1499" s="11"/>
      <c r="E1499" s="8" t="str">
        <f aca="false">IF($A1499="","",SUMIFS($C:$C,$A:$A,$H1499,$B:$B,"&gt;="&amp;INT($B1499),$B:$B,"&lt;"&amp;(INT($B1499)+1)))</f>
        <v/>
      </c>
      <c r="F1499" s="19" t="str">
        <f aca="false">IF($A1499="","",IF(ISNA(MATCH($H1499,Buffers!$AE:$AE,0)),"Not on Buffers",IF(NOT(ISNUMBER($B1499)),"Needs a date",IF(INT($B1499)&lt;PlanDate,"Past due",IF(INT($B1499)=PlanDate,"Due today",IF(AND(INDEX(Buffers!$L:$L,MATCH($H1499,Buffers!$AE:$AE,0))="Planned",$E1499&gt;0,INT($B1499)&lt;=PlanDate+ROUNDUP(IF(ISNUMBER(SpikeHorizon),SpikeHorizon,INDEX(Buffers!$D:$D,MATCH($H1499,Buffers!$AE:$AE,0))),0),$E1499&gt;=SpikePct*INDEX(Buffers!$P:$P,MATCH($H1499,Buffers!$AE:$AE,0))),"Spike","Not qualified"))))))</f>
        <v/>
      </c>
      <c r="G1499" s="8" t="str">
        <f aca="false">IF($A1499="","",IF(OR($F1499="Past due",$F1499="Due today",$F1499="Spike"),$C1499,0))</f>
        <v/>
      </c>
      <c r="H1499" s="8" t="str">
        <f aca="false">IF($A1499="","",SUBSTITUTE(SUBSTITUTE(SUBSTITUTE($A1499&amp;"","~","~~"),"*","~*"),"?","~?"))</f>
        <v/>
      </c>
    </row>
    <row r="1500" customFormat="false" ht="15" hidden="false" customHeight="false" outlineLevel="0" collapsed="false">
      <c r="A1500" s="11"/>
      <c r="B1500" s="6"/>
      <c r="C1500" s="11"/>
      <c r="D1500" s="11"/>
      <c r="E1500" s="8" t="str">
        <f aca="false">IF($A1500="","",SUMIFS($C:$C,$A:$A,$H1500,$B:$B,"&gt;="&amp;INT($B1500),$B:$B,"&lt;"&amp;(INT($B1500)+1)))</f>
        <v/>
      </c>
      <c r="F1500" s="19" t="str">
        <f aca="false">IF($A1500="","",IF(ISNA(MATCH($H1500,Buffers!$AE:$AE,0)),"Not on Buffers",IF(NOT(ISNUMBER($B1500)),"Needs a date",IF(INT($B1500)&lt;PlanDate,"Past due",IF(INT($B1500)=PlanDate,"Due today",IF(AND(INDEX(Buffers!$L:$L,MATCH($H1500,Buffers!$AE:$AE,0))="Planned",$E1500&gt;0,INT($B1500)&lt;=PlanDate+ROUNDUP(IF(ISNUMBER(SpikeHorizon),SpikeHorizon,INDEX(Buffers!$D:$D,MATCH($H1500,Buffers!$AE:$AE,0))),0),$E1500&gt;=SpikePct*INDEX(Buffers!$P:$P,MATCH($H1500,Buffers!$AE:$AE,0))),"Spike","Not qualified"))))))</f>
        <v/>
      </c>
      <c r="G1500" s="8" t="str">
        <f aca="false">IF($A1500="","",IF(OR($F1500="Past due",$F1500="Due today",$F1500="Spike"),$C1500,0))</f>
        <v/>
      </c>
      <c r="H1500" s="8" t="str">
        <f aca="false">IF($A1500="","",SUBSTITUTE(SUBSTITUTE(SUBSTITUTE($A1500&amp;"","~","~~"),"*","~*"),"?","~?"))</f>
        <v/>
      </c>
    </row>
    <row r="1501" customFormat="false" ht="15" hidden="false" customHeight="false" outlineLevel="0" collapsed="false">
      <c r="A1501" s="11"/>
      <c r="B1501" s="6"/>
      <c r="C1501" s="11"/>
      <c r="D1501" s="11"/>
      <c r="E1501" s="8" t="str">
        <f aca="false">IF($A1501="","",SUMIFS($C:$C,$A:$A,$H1501,$B:$B,"&gt;="&amp;INT($B1501),$B:$B,"&lt;"&amp;(INT($B1501)+1)))</f>
        <v/>
      </c>
      <c r="F1501" s="19" t="str">
        <f aca="false">IF($A1501="","",IF(ISNA(MATCH($H1501,Buffers!$AE:$AE,0)),"Not on Buffers",IF(NOT(ISNUMBER($B1501)),"Needs a date",IF(INT($B1501)&lt;PlanDate,"Past due",IF(INT($B1501)=PlanDate,"Due today",IF(AND(INDEX(Buffers!$L:$L,MATCH($H1501,Buffers!$AE:$AE,0))="Planned",$E1501&gt;0,INT($B1501)&lt;=PlanDate+ROUNDUP(IF(ISNUMBER(SpikeHorizon),SpikeHorizon,INDEX(Buffers!$D:$D,MATCH($H1501,Buffers!$AE:$AE,0))),0),$E1501&gt;=SpikePct*INDEX(Buffers!$P:$P,MATCH($H1501,Buffers!$AE:$AE,0))),"Spike","Not qualified"))))))</f>
        <v/>
      </c>
      <c r="G1501" s="8" t="str">
        <f aca="false">IF($A1501="","",IF(OR($F1501="Past due",$F1501="Due today",$F1501="Spike"),$C1501,0))</f>
        <v/>
      </c>
      <c r="H1501" s="8" t="str">
        <f aca="false">IF($A1501="","",SUBSTITUTE(SUBSTITUTE(SUBSTITUTE($A1501&amp;"","~","~~"),"*","~*"),"?","~?"))</f>
        <v/>
      </c>
    </row>
    <row r="1502" customFormat="false" ht="15" hidden="false" customHeight="false" outlineLevel="0" collapsed="false">
      <c r="A1502" s="11"/>
      <c r="B1502" s="6"/>
      <c r="C1502" s="11"/>
      <c r="D1502" s="11"/>
      <c r="E1502" s="8" t="str">
        <f aca="false">IF($A1502="","",SUMIFS($C:$C,$A:$A,$H1502,$B:$B,"&gt;="&amp;INT($B1502),$B:$B,"&lt;"&amp;(INT($B1502)+1)))</f>
        <v/>
      </c>
      <c r="F1502" s="19" t="str">
        <f aca="false">IF($A1502="","",IF(ISNA(MATCH($H1502,Buffers!$AE:$AE,0)),"Not on Buffers",IF(NOT(ISNUMBER($B1502)),"Needs a date",IF(INT($B1502)&lt;PlanDate,"Past due",IF(INT($B1502)=PlanDate,"Due today",IF(AND(INDEX(Buffers!$L:$L,MATCH($H1502,Buffers!$AE:$AE,0))="Planned",$E1502&gt;0,INT($B1502)&lt;=PlanDate+ROUNDUP(IF(ISNUMBER(SpikeHorizon),SpikeHorizon,INDEX(Buffers!$D:$D,MATCH($H1502,Buffers!$AE:$AE,0))),0),$E1502&gt;=SpikePct*INDEX(Buffers!$P:$P,MATCH($H1502,Buffers!$AE:$AE,0))),"Spike","Not qualified"))))))</f>
        <v/>
      </c>
      <c r="G1502" s="8" t="str">
        <f aca="false">IF($A1502="","",IF(OR($F1502="Past due",$F1502="Due today",$F1502="Spike"),$C1502,0))</f>
        <v/>
      </c>
      <c r="H1502" s="8" t="str">
        <f aca="false">IF($A1502="","",SUBSTITUTE(SUBSTITUTE(SUBSTITUTE($A1502&amp;"","~","~~"),"*","~*"),"?","~?"))</f>
        <v/>
      </c>
    </row>
    <row r="1503" customFormat="false" ht="15" hidden="false" customHeight="false" outlineLevel="0" collapsed="false">
      <c r="A1503" s="11"/>
      <c r="B1503" s="6"/>
      <c r="C1503" s="11"/>
      <c r="D1503" s="11"/>
      <c r="E1503" s="8" t="str">
        <f aca="false">IF($A1503="","",SUMIFS($C:$C,$A:$A,$H1503,$B:$B,"&gt;="&amp;INT($B1503),$B:$B,"&lt;"&amp;(INT($B1503)+1)))</f>
        <v/>
      </c>
      <c r="F1503" s="19" t="str">
        <f aca="false">IF($A1503="","",IF(ISNA(MATCH($H1503,Buffers!$AE:$AE,0)),"Not on Buffers",IF(NOT(ISNUMBER($B1503)),"Needs a date",IF(INT($B1503)&lt;PlanDate,"Past due",IF(INT($B1503)=PlanDate,"Due today",IF(AND(INDEX(Buffers!$L:$L,MATCH($H1503,Buffers!$AE:$AE,0))="Planned",$E1503&gt;0,INT($B1503)&lt;=PlanDate+ROUNDUP(IF(ISNUMBER(SpikeHorizon),SpikeHorizon,INDEX(Buffers!$D:$D,MATCH($H1503,Buffers!$AE:$AE,0))),0),$E1503&gt;=SpikePct*INDEX(Buffers!$P:$P,MATCH($H1503,Buffers!$AE:$AE,0))),"Spike","Not qualified"))))))</f>
        <v/>
      </c>
      <c r="G1503" s="8" t="str">
        <f aca="false">IF($A1503="","",IF(OR($F1503="Past due",$F1503="Due today",$F1503="Spike"),$C1503,0))</f>
        <v/>
      </c>
      <c r="H1503" s="8" t="str">
        <f aca="false">IF($A1503="","",SUBSTITUTE(SUBSTITUTE(SUBSTITUTE($A1503&amp;"","~","~~"),"*","~*"),"?","~?"))</f>
        <v/>
      </c>
    </row>
    <row r="1504" customFormat="false" ht="15" hidden="false" customHeight="false" outlineLevel="0" collapsed="false">
      <c r="A1504" s="11"/>
      <c r="B1504" s="6"/>
      <c r="C1504" s="11"/>
      <c r="D1504" s="11"/>
      <c r="E1504" s="8" t="str">
        <f aca="false">IF($A1504="","",SUMIFS($C:$C,$A:$A,$H1504,$B:$B,"&gt;="&amp;INT($B1504),$B:$B,"&lt;"&amp;(INT($B1504)+1)))</f>
        <v/>
      </c>
      <c r="F1504" s="19" t="str">
        <f aca="false">IF($A1504="","",IF(ISNA(MATCH($H1504,Buffers!$AE:$AE,0)),"Not on Buffers",IF(NOT(ISNUMBER($B1504)),"Needs a date",IF(INT($B1504)&lt;PlanDate,"Past due",IF(INT($B1504)=PlanDate,"Due today",IF(AND(INDEX(Buffers!$L:$L,MATCH($H1504,Buffers!$AE:$AE,0))="Planned",$E1504&gt;0,INT($B1504)&lt;=PlanDate+ROUNDUP(IF(ISNUMBER(SpikeHorizon),SpikeHorizon,INDEX(Buffers!$D:$D,MATCH($H1504,Buffers!$AE:$AE,0))),0),$E1504&gt;=SpikePct*INDEX(Buffers!$P:$P,MATCH($H1504,Buffers!$AE:$AE,0))),"Spike","Not qualified"))))))</f>
        <v/>
      </c>
      <c r="G1504" s="8" t="str">
        <f aca="false">IF($A1504="","",IF(OR($F1504="Past due",$F1504="Due today",$F1504="Spike"),$C1504,0))</f>
        <v/>
      </c>
      <c r="H1504" s="8" t="str">
        <f aca="false">IF($A1504="","",SUBSTITUTE(SUBSTITUTE(SUBSTITUTE($A1504&amp;"","~","~~"),"*","~*"),"?","~?"))</f>
        <v/>
      </c>
    </row>
    <row r="1505" customFormat="false" ht="15" hidden="false" customHeight="false" outlineLevel="0" collapsed="false">
      <c r="A1505" s="11"/>
      <c r="B1505" s="6"/>
      <c r="C1505" s="11"/>
      <c r="D1505" s="11"/>
      <c r="E1505" s="8" t="str">
        <f aca="false">IF($A1505="","",SUMIFS($C:$C,$A:$A,$H1505,$B:$B,"&gt;="&amp;INT($B1505),$B:$B,"&lt;"&amp;(INT($B1505)+1)))</f>
        <v/>
      </c>
      <c r="F1505" s="19" t="str">
        <f aca="false">IF($A1505="","",IF(ISNA(MATCH($H1505,Buffers!$AE:$AE,0)),"Not on Buffers",IF(NOT(ISNUMBER($B1505)),"Needs a date",IF(INT($B1505)&lt;PlanDate,"Past due",IF(INT($B1505)=PlanDate,"Due today",IF(AND(INDEX(Buffers!$L:$L,MATCH($H1505,Buffers!$AE:$AE,0))="Planned",$E1505&gt;0,INT($B1505)&lt;=PlanDate+ROUNDUP(IF(ISNUMBER(SpikeHorizon),SpikeHorizon,INDEX(Buffers!$D:$D,MATCH($H1505,Buffers!$AE:$AE,0))),0),$E1505&gt;=SpikePct*INDEX(Buffers!$P:$P,MATCH($H1505,Buffers!$AE:$AE,0))),"Spike","Not qualified"))))))</f>
        <v/>
      </c>
      <c r="G1505" s="8" t="str">
        <f aca="false">IF($A1505="","",IF(OR($F1505="Past due",$F1505="Due today",$F1505="Spike"),$C1505,0))</f>
        <v/>
      </c>
      <c r="H1505" s="8" t="str">
        <f aca="false">IF($A1505="","",SUBSTITUTE(SUBSTITUTE(SUBSTITUTE($A1505&amp;"","~","~~"),"*","~*"),"?","~?"))</f>
        <v/>
      </c>
    </row>
    <row r="1506" customFormat="false" ht="15" hidden="false" customHeight="false" outlineLevel="0" collapsed="false">
      <c r="A1506" s="11"/>
      <c r="B1506" s="6"/>
      <c r="C1506" s="11"/>
      <c r="D1506" s="11"/>
      <c r="E1506" s="8" t="str">
        <f aca="false">IF($A1506="","",SUMIFS($C:$C,$A:$A,$H1506,$B:$B,"&gt;="&amp;INT($B1506),$B:$B,"&lt;"&amp;(INT($B1506)+1)))</f>
        <v/>
      </c>
      <c r="F1506" s="19" t="str">
        <f aca="false">IF($A1506="","",IF(ISNA(MATCH($H1506,Buffers!$AE:$AE,0)),"Not on Buffers",IF(NOT(ISNUMBER($B1506)),"Needs a date",IF(INT($B1506)&lt;PlanDate,"Past due",IF(INT($B1506)=PlanDate,"Due today",IF(AND(INDEX(Buffers!$L:$L,MATCH($H1506,Buffers!$AE:$AE,0))="Planned",$E1506&gt;0,INT($B1506)&lt;=PlanDate+ROUNDUP(IF(ISNUMBER(SpikeHorizon),SpikeHorizon,INDEX(Buffers!$D:$D,MATCH($H1506,Buffers!$AE:$AE,0))),0),$E1506&gt;=SpikePct*INDEX(Buffers!$P:$P,MATCH($H1506,Buffers!$AE:$AE,0))),"Spike","Not qualified"))))))</f>
        <v/>
      </c>
      <c r="G1506" s="8" t="str">
        <f aca="false">IF($A1506="","",IF(OR($F1506="Past due",$F1506="Due today",$F1506="Spike"),$C1506,0))</f>
        <v/>
      </c>
      <c r="H1506" s="8" t="str">
        <f aca="false">IF($A1506="","",SUBSTITUTE(SUBSTITUTE(SUBSTITUTE($A1506&amp;"","~","~~"),"*","~*"),"?","~?"))</f>
        <v/>
      </c>
    </row>
    <row r="1507" customFormat="false" ht="15" hidden="false" customHeight="false" outlineLevel="0" collapsed="false">
      <c r="A1507" s="11"/>
      <c r="B1507" s="6"/>
      <c r="C1507" s="11"/>
      <c r="D1507" s="11"/>
      <c r="E1507" s="8" t="str">
        <f aca="false">IF($A1507="","",SUMIFS($C:$C,$A:$A,$H1507,$B:$B,"&gt;="&amp;INT($B1507),$B:$B,"&lt;"&amp;(INT($B1507)+1)))</f>
        <v/>
      </c>
      <c r="F1507" s="19" t="str">
        <f aca="false">IF($A1507="","",IF(ISNA(MATCH($H1507,Buffers!$AE:$AE,0)),"Not on Buffers",IF(NOT(ISNUMBER($B1507)),"Needs a date",IF(INT($B1507)&lt;PlanDate,"Past due",IF(INT($B1507)=PlanDate,"Due today",IF(AND(INDEX(Buffers!$L:$L,MATCH($H1507,Buffers!$AE:$AE,0))="Planned",$E1507&gt;0,INT($B1507)&lt;=PlanDate+ROUNDUP(IF(ISNUMBER(SpikeHorizon),SpikeHorizon,INDEX(Buffers!$D:$D,MATCH($H1507,Buffers!$AE:$AE,0))),0),$E1507&gt;=SpikePct*INDEX(Buffers!$P:$P,MATCH($H1507,Buffers!$AE:$AE,0))),"Spike","Not qualified"))))))</f>
        <v/>
      </c>
      <c r="G1507" s="8" t="str">
        <f aca="false">IF($A1507="","",IF(OR($F1507="Past due",$F1507="Due today",$F1507="Spike"),$C1507,0))</f>
        <v/>
      </c>
      <c r="H1507" s="8" t="str">
        <f aca="false">IF($A1507="","",SUBSTITUTE(SUBSTITUTE(SUBSTITUTE($A1507&amp;"","~","~~"),"*","~*"),"?","~?"))</f>
        <v/>
      </c>
    </row>
    <row r="1508" customFormat="false" ht="15" hidden="false" customHeight="false" outlineLevel="0" collapsed="false">
      <c r="A1508" s="11"/>
      <c r="B1508" s="6"/>
      <c r="C1508" s="11"/>
      <c r="D1508" s="11"/>
      <c r="E1508" s="8" t="str">
        <f aca="false">IF($A1508="","",SUMIFS($C:$C,$A:$A,$H1508,$B:$B,"&gt;="&amp;INT($B1508),$B:$B,"&lt;"&amp;(INT($B1508)+1)))</f>
        <v/>
      </c>
      <c r="F1508" s="19" t="str">
        <f aca="false">IF($A1508="","",IF(ISNA(MATCH($H1508,Buffers!$AE:$AE,0)),"Not on Buffers",IF(NOT(ISNUMBER($B1508)),"Needs a date",IF(INT($B1508)&lt;PlanDate,"Past due",IF(INT($B1508)=PlanDate,"Due today",IF(AND(INDEX(Buffers!$L:$L,MATCH($H1508,Buffers!$AE:$AE,0))="Planned",$E1508&gt;0,INT($B1508)&lt;=PlanDate+ROUNDUP(IF(ISNUMBER(SpikeHorizon),SpikeHorizon,INDEX(Buffers!$D:$D,MATCH($H1508,Buffers!$AE:$AE,0))),0),$E1508&gt;=SpikePct*INDEX(Buffers!$P:$P,MATCH($H1508,Buffers!$AE:$AE,0))),"Spike","Not qualified"))))))</f>
        <v/>
      </c>
      <c r="G1508" s="8" t="str">
        <f aca="false">IF($A1508="","",IF(OR($F1508="Past due",$F1508="Due today",$F1508="Spike"),$C1508,0))</f>
        <v/>
      </c>
      <c r="H1508" s="8" t="str">
        <f aca="false">IF($A1508="","",SUBSTITUTE(SUBSTITUTE(SUBSTITUTE($A1508&amp;"","~","~~"),"*","~*"),"?","~?"))</f>
        <v/>
      </c>
    </row>
    <row r="1509" customFormat="false" ht="15" hidden="false" customHeight="false" outlineLevel="0" collapsed="false">
      <c r="A1509" s="11"/>
      <c r="B1509" s="6"/>
      <c r="C1509" s="11"/>
      <c r="D1509" s="11"/>
      <c r="E1509" s="8" t="str">
        <f aca="false">IF($A1509="","",SUMIFS($C:$C,$A:$A,$H1509,$B:$B,"&gt;="&amp;INT($B1509),$B:$B,"&lt;"&amp;(INT($B1509)+1)))</f>
        <v/>
      </c>
      <c r="F1509" s="19" t="str">
        <f aca="false">IF($A1509="","",IF(ISNA(MATCH($H1509,Buffers!$AE:$AE,0)),"Not on Buffers",IF(NOT(ISNUMBER($B1509)),"Needs a date",IF(INT($B1509)&lt;PlanDate,"Past due",IF(INT($B1509)=PlanDate,"Due today",IF(AND(INDEX(Buffers!$L:$L,MATCH($H1509,Buffers!$AE:$AE,0))="Planned",$E1509&gt;0,INT($B1509)&lt;=PlanDate+ROUNDUP(IF(ISNUMBER(SpikeHorizon),SpikeHorizon,INDEX(Buffers!$D:$D,MATCH($H1509,Buffers!$AE:$AE,0))),0),$E1509&gt;=SpikePct*INDEX(Buffers!$P:$P,MATCH($H1509,Buffers!$AE:$AE,0))),"Spike","Not qualified"))))))</f>
        <v/>
      </c>
      <c r="G1509" s="8" t="str">
        <f aca="false">IF($A1509="","",IF(OR($F1509="Past due",$F1509="Due today",$F1509="Spike"),$C1509,0))</f>
        <v/>
      </c>
      <c r="H1509" s="8" t="str">
        <f aca="false">IF($A1509="","",SUBSTITUTE(SUBSTITUTE(SUBSTITUTE($A1509&amp;"","~","~~"),"*","~*"),"?","~?"))</f>
        <v/>
      </c>
    </row>
    <row r="1510" customFormat="false" ht="15" hidden="false" customHeight="false" outlineLevel="0" collapsed="false">
      <c r="A1510" s="11"/>
      <c r="B1510" s="6"/>
      <c r="C1510" s="11"/>
      <c r="D1510" s="11"/>
      <c r="E1510" s="8" t="str">
        <f aca="false">IF($A1510="","",SUMIFS($C:$C,$A:$A,$H1510,$B:$B,"&gt;="&amp;INT($B1510),$B:$B,"&lt;"&amp;(INT($B1510)+1)))</f>
        <v/>
      </c>
      <c r="F1510" s="19" t="str">
        <f aca="false">IF($A1510="","",IF(ISNA(MATCH($H1510,Buffers!$AE:$AE,0)),"Not on Buffers",IF(NOT(ISNUMBER($B1510)),"Needs a date",IF(INT($B1510)&lt;PlanDate,"Past due",IF(INT($B1510)=PlanDate,"Due today",IF(AND(INDEX(Buffers!$L:$L,MATCH($H1510,Buffers!$AE:$AE,0))="Planned",$E1510&gt;0,INT($B1510)&lt;=PlanDate+ROUNDUP(IF(ISNUMBER(SpikeHorizon),SpikeHorizon,INDEX(Buffers!$D:$D,MATCH($H1510,Buffers!$AE:$AE,0))),0),$E1510&gt;=SpikePct*INDEX(Buffers!$P:$P,MATCH($H1510,Buffers!$AE:$AE,0))),"Spike","Not qualified"))))))</f>
        <v/>
      </c>
      <c r="G1510" s="8" t="str">
        <f aca="false">IF($A1510="","",IF(OR($F1510="Past due",$F1510="Due today",$F1510="Spike"),$C1510,0))</f>
        <v/>
      </c>
      <c r="H1510" s="8" t="str">
        <f aca="false">IF($A1510="","",SUBSTITUTE(SUBSTITUTE(SUBSTITUTE($A1510&amp;"","~","~~"),"*","~*"),"?","~?"))</f>
        <v/>
      </c>
    </row>
    <row r="1511" customFormat="false" ht="15" hidden="false" customHeight="false" outlineLevel="0" collapsed="false">
      <c r="A1511" s="11"/>
      <c r="B1511" s="6"/>
      <c r="C1511" s="11"/>
      <c r="D1511" s="11"/>
      <c r="E1511" s="8" t="str">
        <f aca="false">IF($A1511="","",SUMIFS($C:$C,$A:$A,$H1511,$B:$B,"&gt;="&amp;INT($B1511),$B:$B,"&lt;"&amp;(INT($B1511)+1)))</f>
        <v/>
      </c>
      <c r="F1511" s="19" t="str">
        <f aca="false">IF($A1511="","",IF(ISNA(MATCH($H1511,Buffers!$AE:$AE,0)),"Not on Buffers",IF(NOT(ISNUMBER($B1511)),"Needs a date",IF(INT($B1511)&lt;PlanDate,"Past due",IF(INT($B1511)=PlanDate,"Due today",IF(AND(INDEX(Buffers!$L:$L,MATCH($H1511,Buffers!$AE:$AE,0))="Planned",$E1511&gt;0,INT($B1511)&lt;=PlanDate+ROUNDUP(IF(ISNUMBER(SpikeHorizon),SpikeHorizon,INDEX(Buffers!$D:$D,MATCH($H1511,Buffers!$AE:$AE,0))),0),$E1511&gt;=SpikePct*INDEX(Buffers!$P:$P,MATCH($H1511,Buffers!$AE:$AE,0))),"Spike","Not qualified"))))))</f>
        <v/>
      </c>
      <c r="G1511" s="8" t="str">
        <f aca="false">IF($A1511="","",IF(OR($F1511="Past due",$F1511="Due today",$F1511="Spike"),$C1511,0))</f>
        <v/>
      </c>
      <c r="H1511" s="8" t="str">
        <f aca="false">IF($A1511="","",SUBSTITUTE(SUBSTITUTE(SUBSTITUTE($A1511&amp;"","~","~~"),"*","~*"),"?","~?"))</f>
        <v/>
      </c>
    </row>
    <row r="1512" customFormat="false" ht="15" hidden="false" customHeight="false" outlineLevel="0" collapsed="false">
      <c r="A1512" s="11"/>
      <c r="B1512" s="6"/>
      <c r="C1512" s="11"/>
      <c r="D1512" s="11"/>
      <c r="E1512" s="8" t="str">
        <f aca="false">IF($A1512="","",SUMIFS($C:$C,$A:$A,$H1512,$B:$B,"&gt;="&amp;INT($B1512),$B:$B,"&lt;"&amp;(INT($B1512)+1)))</f>
        <v/>
      </c>
      <c r="F1512" s="19" t="str">
        <f aca="false">IF($A1512="","",IF(ISNA(MATCH($H1512,Buffers!$AE:$AE,0)),"Not on Buffers",IF(NOT(ISNUMBER($B1512)),"Needs a date",IF(INT($B1512)&lt;PlanDate,"Past due",IF(INT($B1512)=PlanDate,"Due today",IF(AND(INDEX(Buffers!$L:$L,MATCH($H1512,Buffers!$AE:$AE,0))="Planned",$E1512&gt;0,INT($B1512)&lt;=PlanDate+ROUNDUP(IF(ISNUMBER(SpikeHorizon),SpikeHorizon,INDEX(Buffers!$D:$D,MATCH($H1512,Buffers!$AE:$AE,0))),0),$E1512&gt;=SpikePct*INDEX(Buffers!$P:$P,MATCH($H1512,Buffers!$AE:$AE,0))),"Spike","Not qualified"))))))</f>
        <v/>
      </c>
      <c r="G1512" s="8" t="str">
        <f aca="false">IF($A1512="","",IF(OR($F1512="Past due",$F1512="Due today",$F1512="Spike"),$C1512,0))</f>
        <v/>
      </c>
      <c r="H1512" s="8" t="str">
        <f aca="false">IF($A1512="","",SUBSTITUTE(SUBSTITUTE(SUBSTITUTE($A1512&amp;"","~","~~"),"*","~*"),"?","~?"))</f>
        <v/>
      </c>
    </row>
    <row r="1513" customFormat="false" ht="15" hidden="false" customHeight="false" outlineLevel="0" collapsed="false">
      <c r="A1513" s="11"/>
      <c r="B1513" s="6"/>
      <c r="C1513" s="11"/>
      <c r="D1513" s="11"/>
      <c r="E1513" s="8" t="str">
        <f aca="false">IF($A1513="","",SUMIFS($C:$C,$A:$A,$H1513,$B:$B,"&gt;="&amp;INT($B1513),$B:$B,"&lt;"&amp;(INT($B1513)+1)))</f>
        <v/>
      </c>
      <c r="F1513" s="19" t="str">
        <f aca="false">IF($A1513="","",IF(ISNA(MATCH($H1513,Buffers!$AE:$AE,0)),"Not on Buffers",IF(NOT(ISNUMBER($B1513)),"Needs a date",IF(INT($B1513)&lt;PlanDate,"Past due",IF(INT($B1513)=PlanDate,"Due today",IF(AND(INDEX(Buffers!$L:$L,MATCH($H1513,Buffers!$AE:$AE,0))="Planned",$E1513&gt;0,INT($B1513)&lt;=PlanDate+ROUNDUP(IF(ISNUMBER(SpikeHorizon),SpikeHorizon,INDEX(Buffers!$D:$D,MATCH($H1513,Buffers!$AE:$AE,0))),0),$E1513&gt;=SpikePct*INDEX(Buffers!$P:$P,MATCH($H1513,Buffers!$AE:$AE,0))),"Spike","Not qualified"))))))</f>
        <v/>
      </c>
      <c r="G1513" s="8" t="str">
        <f aca="false">IF($A1513="","",IF(OR($F1513="Past due",$F1513="Due today",$F1513="Spike"),$C1513,0))</f>
        <v/>
      </c>
      <c r="H1513" s="8" t="str">
        <f aca="false">IF($A1513="","",SUBSTITUTE(SUBSTITUTE(SUBSTITUTE($A1513&amp;"","~","~~"),"*","~*"),"?","~?"))</f>
        <v/>
      </c>
    </row>
    <row r="1514" customFormat="false" ht="15" hidden="false" customHeight="false" outlineLevel="0" collapsed="false">
      <c r="A1514" s="11"/>
      <c r="B1514" s="6"/>
      <c r="C1514" s="11"/>
      <c r="D1514" s="11"/>
      <c r="E1514" s="8" t="str">
        <f aca="false">IF($A1514="","",SUMIFS($C:$C,$A:$A,$H1514,$B:$B,"&gt;="&amp;INT($B1514),$B:$B,"&lt;"&amp;(INT($B1514)+1)))</f>
        <v/>
      </c>
      <c r="F1514" s="19" t="str">
        <f aca="false">IF($A1514="","",IF(ISNA(MATCH($H1514,Buffers!$AE:$AE,0)),"Not on Buffers",IF(NOT(ISNUMBER($B1514)),"Needs a date",IF(INT($B1514)&lt;PlanDate,"Past due",IF(INT($B1514)=PlanDate,"Due today",IF(AND(INDEX(Buffers!$L:$L,MATCH($H1514,Buffers!$AE:$AE,0))="Planned",$E1514&gt;0,INT($B1514)&lt;=PlanDate+ROUNDUP(IF(ISNUMBER(SpikeHorizon),SpikeHorizon,INDEX(Buffers!$D:$D,MATCH($H1514,Buffers!$AE:$AE,0))),0),$E1514&gt;=SpikePct*INDEX(Buffers!$P:$P,MATCH($H1514,Buffers!$AE:$AE,0))),"Spike","Not qualified"))))))</f>
        <v/>
      </c>
      <c r="G1514" s="8" t="str">
        <f aca="false">IF($A1514="","",IF(OR($F1514="Past due",$F1514="Due today",$F1514="Spike"),$C1514,0))</f>
        <v/>
      </c>
      <c r="H1514" s="8" t="str">
        <f aca="false">IF($A1514="","",SUBSTITUTE(SUBSTITUTE(SUBSTITUTE($A1514&amp;"","~","~~"),"*","~*"),"?","~?"))</f>
        <v/>
      </c>
    </row>
    <row r="1515" customFormat="false" ht="15" hidden="false" customHeight="false" outlineLevel="0" collapsed="false">
      <c r="A1515" s="11"/>
      <c r="B1515" s="6"/>
      <c r="C1515" s="11"/>
      <c r="D1515" s="11"/>
      <c r="E1515" s="8" t="str">
        <f aca="false">IF($A1515="","",SUMIFS($C:$C,$A:$A,$H1515,$B:$B,"&gt;="&amp;INT($B1515),$B:$B,"&lt;"&amp;(INT($B1515)+1)))</f>
        <v/>
      </c>
      <c r="F1515" s="19" t="str">
        <f aca="false">IF($A1515="","",IF(ISNA(MATCH($H1515,Buffers!$AE:$AE,0)),"Not on Buffers",IF(NOT(ISNUMBER($B1515)),"Needs a date",IF(INT($B1515)&lt;PlanDate,"Past due",IF(INT($B1515)=PlanDate,"Due today",IF(AND(INDEX(Buffers!$L:$L,MATCH($H1515,Buffers!$AE:$AE,0))="Planned",$E1515&gt;0,INT($B1515)&lt;=PlanDate+ROUNDUP(IF(ISNUMBER(SpikeHorizon),SpikeHorizon,INDEX(Buffers!$D:$D,MATCH($H1515,Buffers!$AE:$AE,0))),0),$E1515&gt;=SpikePct*INDEX(Buffers!$P:$P,MATCH($H1515,Buffers!$AE:$AE,0))),"Spike","Not qualified"))))))</f>
        <v/>
      </c>
      <c r="G1515" s="8" t="str">
        <f aca="false">IF($A1515="","",IF(OR($F1515="Past due",$F1515="Due today",$F1515="Spike"),$C1515,0))</f>
        <v/>
      </c>
      <c r="H1515" s="8" t="str">
        <f aca="false">IF($A1515="","",SUBSTITUTE(SUBSTITUTE(SUBSTITUTE($A1515&amp;"","~","~~"),"*","~*"),"?","~?"))</f>
        <v/>
      </c>
    </row>
    <row r="1516" customFormat="false" ht="15" hidden="false" customHeight="false" outlineLevel="0" collapsed="false">
      <c r="A1516" s="11"/>
      <c r="B1516" s="6"/>
      <c r="C1516" s="11"/>
      <c r="D1516" s="11"/>
      <c r="E1516" s="8" t="str">
        <f aca="false">IF($A1516="","",SUMIFS($C:$C,$A:$A,$H1516,$B:$B,"&gt;="&amp;INT($B1516),$B:$B,"&lt;"&amp;(INT($B1516)+1)))</f>
        <v/>
      </c>
      <c r="F1516" s="19" t="str">
        <f aca="false">IF($A1516="","",IF(ISNA(MATCH($H1516,Buffers!$AE:$AE,0)),"Not on Buffers",IF(NOT(ISNUMBER($B1516)),"Needs a date",IF(INT($B1516)&lt;PlanDate,"Past due",IF(INT($B1516)=PlanDate,"Due today",IF(AND(INDEX(Buffers!$L:$L,MATCH($H1516,Buffers!$AE:$AE,0))="Planned",$E1516&gt;0,INT($B1516)&lt;=PlanDate+ROUNDUP(IF(ISNUMBER(SpikeHorizon),SpikeHorizon,INDEX(Buffers!$D:$D,MATCH($H1516,Buffers!$AE:$AE,0))),0),$E1516&gt;=SpikePct*INDEX(Buffers!$P:$P,MATCH($H1516,Buffers!$AE:$AE,0))),"Spike","Not qualified"))))))</f>
        <v/>
      </c>
      <c r="G1516" s="8" t="str">
        <f aca="false">IF($A1516="","",IF(OR($F1516="Past due",$F1516="Due today",$F1516="Spike"),$C1516,0))</f>
        <v/>
      </c>
      <c r="H1516" s="8" t="str">
        <f aca="false">IF($A1516="","",SUBSTITUTE(SUBSTITUTE(SUBSTITUTE($A1516&amp;"","~","~~"),"*","~*"),"?","~?"))</f>
        <v/>
      </c>
    </row>
    <row r="1517" customFormat="false" ht="15" hidden="false" customHeight="false" outlineLevel="0" collapsed="false">
      <c r="A1517" s="11"/>
      <c r="B1517" s="6"/>
      <c r="C1517" s="11"/>
      <c r="D1517" s="11"/>
      <c r="E1517" s="8" t="str">
        <f aca="false">IF($A1517="","",SUMIFS($C:$C,$A:$A,$H1517,$B:$B,"&gt;="&amp;INT($B1517),$B:$B,"&lt;"&amp;(INT($B1517)+1)))</f>
        <v/>
      </c>
      <c r="F1517" s="19" t="str">
        <f aca="false">IF($A1517="","",IF(ISNA(MATCH($H1517,Buffers!$AE:$AE,0)),"Not on Buffers",IF(NOT(ISNUMBER($B1517)),"Needs a date",IF(INT($B1517)&lt;PlanDate,"Past due",IF(INT($B1517)=PlanDate,"Due today",IF(AND(INDEX(Buffers!$L:$L,MATCH($H1517,Buffers!$AE:$AE,0))="Planned",$E1517&gt;0,INT($B1517)&lt;=PlanDate+ROUNDUP(IF(ISNUMBER(SpikeHorizon),SpikeHorizon,INDEX(Buffers!$D:$D,MATCH($H1517,Buffers!$AE:$AE,0))),0),$E1517&gt;=SpikePct*INDEX(Buffers!$P:$P,MATCH($H1517,Buffers!$AE:$AE,0))),"Spike","Not qualified"))))))</f>
        <v/>
      </c>
      <c r="G1517" s="8" t="str">
        <f aca="false">IF($A1517="","",IF(OR($F1517="Past due",$F1517="Due today",$F1517="Spike"),$C1517,0))</f>
        <v/>
      </c>
      <c r="H1517" s="8" t="str">
        <f aca="false">IF($A1517="","",SUBSTITUTE(SUBSTITUTE(SUBSTITUTE($A1517&amp;"","~","~~"),"*","~*"),"?","~?"))</f>
        <v/>
      </c>
    </row>
    <row r="1518" customFormat="false" ht="15" hidden="false" customHeight="false" outlineLevel="0" collapsed="false">
      <c r="A1518" s="11"/>
      <c r="B1518" s="6"/>
      <c r="C1518" s="11"/>
      <c r="D1518" s="11"/>
      <c r="E1518" s="8" t="str">
        <f aca="false">IF($A1518="","",SUMIFS($C:$C,$A:$A,$H1518,$B:$B,"&gt;="&amp;INT($B1518),$B:$B,"&lt;"&amp;(INT($B1518)+1)))</f>
        <v/>
      </c>
      <c r="F1518" s="19" t="str">
        <f aca="false">IF($A1518="","",IF(ISNA(MATCH($H1518,Buffers!$AE:$AE,0)),"Not on Buffers",IF(NOT(ISNUMBER($B1518)),"Needs a date",IF(INT($B1518)&lt;PlanDate,"Past due",IF(INT($B1518)=PlanDate,"Due today",IF(AND(INDEX(Buffers!$L:$L,MATCH($H1518,Buffers!$AE:$AE,0))="Planned",$E1518&gt;0,INT($B1518)&lt;=PlanDate+ROUNDUP(IF(ISNUMBER(SpikeHorizon),SpikeHorizon,INDEX(Buffers!$D:$D,MATCH($H1518,Buffers!$AE:$AE,0))),0),$E1518&gt;=SpikePct*INDEX(Buffers!$P:$P,MATCH($H1518,Buffers!$AE:$AE,0))),"Spike","Not qualified"))))))</f>
        <v/>
      </c>
      <c r="G1518" s="8" t="str">
        <f aca="false">IF($A1518="","",IF(OR($F1518="Past due",$F1518="Due today",$F1518="Spike"),$C1518,0))</f>
        <v/>
      </c>
      <c r="H1518" s="8" t="str">
        <f aca="false">IF($A1518="","",SUBSTITUTE(SUBSTITUTE(SUBSTITUTE($A1518&amp;"","~","~~"),"*","~*"),"?","~?"))</f>
        <v/>
      </c>
    </row>
    <row r="1519" customFormat="false" ht="15" hidden="false" customHeight="false" outlineLevel="0" collapsed="false">
      <c r="A1519" s="11"/>
      <c r="B1519" s="6"/>
      <c r="C1519" s="11"/>
      <c r="D1519" s="11"/>
      <c r="E1519" s="8" t="str">
        <f aca="false">IF($A1519="","",SUMIFS($C:$C,$A:$A,$H1519,$B:$B,"&gt;="&amp;INT($B1519),$B:$B,"&lt;"&amp;(INT($B1519)+1)))</f>
        <v/>
      </c>
      <c r="F1519" s="19" t="str">
        <f aca="false">IF($A1519="","",IF(ISNA(MATCH($H1519,Buffers!$AE:$AE,0)),"Not on Buffers",IF(NOT(ISNUMBER($B1519)),"Needs a date",IF(INT($B1519)&lt;PlanDate,"Past due",IF(INT($B1519)=PlanDate,"Due today",IF(AND(INDEX(Buffers!$L:$L,MATCH($H1519,Buffers!$AE:$AE,0))="Planned",$E1519&gt;0,INT($B1519)&lt;=PlanDate+ROUNDUP(IF(ISNUMBER(SpikeHorizon),SpikeHorizon,INDEX(Buffers!$D:$D,MATCH($H1519,Buffers!$AE:$AE,0))),0),$E1519&gt;=SpikePct*INDEX(Buffers!$P:$P,MATCH($H1519,Buffers!$AE:$AE,0))),"Spike","Not qualified"))))))</f>
        <v/>
      </c>
      <c r="G1519" s="8" t="str">
        <f aca="false">IF($A1519="","",IF(OR($F1519="Past due",$F1519="Due today",$F1519="Spike"),$C1519,0))</f>
        <v/>
      </c>
      <c r="H1519" s="8" t="str">
        <f aca="false">IF($A1519="","",SUBSTITUTE(SUBSTITUTE(SUBSTITUTE($A1519&amp;"","~","~~"),"*","~*"),"?","~?"))</f>
        <v/>
      </c>
    </row>
    <row r="1520" customFormat="false" ht="15" hidden="false" customHeight="false" outlineLevel="0" collapsed="false">
      <c r="A1520" s="11"/>
      <c r="B1520" s="6"/>
      <c r="C1520" s="11"/>
      <c r="D1520" s="11"/>
      <c r="E1520" s="8" t="str">
        <f aca="false">IF($A1520="","",SUMIFS($C:$C,$A:$A,$H1520,$B:$B,"&gt;="&amp;INT($B1520),$B:$B,"&lt;"&amp;(INT($B1520)+1)))</f>
        <v/>
      </c>
      <c r="F1520" s="19" t="str">
        <f aca="false">IF($A1520="","",IF(ISNA(MATCH($H1520,Buffers!$AE:$AE,0)),"Not on Buffers",IF(NOT(ISNUMBER($B1520)),"Needs a date",IF(INT($B1520)&lt;PlanDate,"Past due",IF(INT($B1520)=PlanDate,"Due today",IF(AND(INDEX(Buffers!$L:$L,MATCH($H1520,Buffers!$AE:$AE,0))="Planned",$E1520&gt;0,INT($B1520)&lt;=PlanDate+ROUNDUP(IF(ISNUMBER(SpikeHorizon),SpikeHorizon,INDEX(Buffers!$D:$D,MATCH($H1520,Buffers!$AE:$AE,0))),0),$E1520&gt;=SpikePct*INDEX(Buffers!$P:$P,MATCH($H1520,Buffers!$AE:$AE,0))),"Spike","Not qualified"))))))</f>
        <v/>
      </c>
      <c r="G1520" s="8" t="str">
        <f aca="false">IF($A1520="","",IF(OR($F1520="Past due",$F1520="Due today",$F1520="Spike"),$C1520,0))</f>
        <v/>
      </c>
      <c r="H1520" s="8" t="str">
        <f aca="false">IF($A1520="","",SUBSTITUTE(SUBSTITUTE(SUBSTITUTE($A1520&amp;"","~","~~"),"*","~*"),"?","~?"))</f>
        <v/>
      </c>
    </row>
    <row r="1521" customFormat="false" ht="15" hidden="false" customHeight="false" outlineLevel="0" collapsed="false">
      <c r="A1521" s="11"/>
      <c r="B1521" s="6"/>
      <c r="C1521" s="11"/>
      <c r="D1521" s="11"/>
      <c r="E1521" s="8" t="str">
        <f aca="false">IF($A1521="","",SUMIFS($C:$C,$A:$A,$H1521,$B:$B,"&gt;="&amp;INT($B1521),$B:$B,"&lt;"&amp;(INT($B1521)+1)))</f>
        <v/>
      </c>
      <c r="F1521" s="19" t="str">
        <f aca="false">IF($A1521="","",IF(ISNA(MATCH($H1521,Buffers!$AE:$AE,0)),"Not on Buffers",IF(NOT(ISNUMBER($B1521)),"Needs a date",IF(INT($B1521)&lt;PlanDate,"Past due",IF(INT($B1521)=PlanDate,"Due today",IF(AND(INDEX(Buffers!$L:$L,MATCH($H1521,Buffers!$AE:$AE,0))="Planned",$E1521&gt;0,INT($B1521)&lt;=PlanDate+ROUNDUP(IF(ISNUMBER(SpikeHorizon),SpikeHorizon,INDEX(Buffers!$D:$D,MATCH($H1521,Buffers!$AE:$AE,0))),0),$E1521&gt;=SpikePct*INDEX(Buffers!$P:$P,MATCH($H1521,Buffers!$AE:$AE,0))),"Spike","Not qualified"))))))</f>
        <v/>
      </c>
      <c r="G1521" s="8" t="str">
        <f aca="false">IF($A1521="","",IF(OR($F1521="Past due",$F1521="Due today",$F1521="Spike"),$C1521,0))</f>
        <v/>
      </c>
      <c r="H1521" s="8" t="str">
        <f aca="false">IF($A1521="","",SUBSTITUTE(SUBSTITUTE(SUBSTITUTE($A1521&amp;"","~","~~"),"*","~*"),"?","~?"))</f>
        <v/>
      </c>
    </row>
    <row r="1522" customFormat="false" ht="15" hidden="false" customHeight="false" outlineLevel="0" collapsed="false">
      <c r="A1522" s="11"/>
      <c r="B1522" s="6"/>
      <c r="C1522" s="11"/>
      <c r="D1522" s="11"/>
      <c r="E1522" s="8" t="str">
        <f aca="false">IF($A1522="","",SUMIFS($C:$C,$A:$A,$H1522,$B:$B,"&gt;="&amp;INT($B1522),$B:$B,"&lt;"&amp;(INT($B1522)+1)))</f>
        <v/>
      </c>
      <c r="F1522" s="19" t="str">
        <f aca="false">IF($A1522="","",IF(ISNA(MATCH($H1522,Buffers!$AE:$AE,0)),"Not on Buffers",IF(NOT(ISNUMBER($B1522)),"Needs a date",IF(INT($B1522)&lt;PlanDate,"Past due",IF(INT($B1522)=PlanDate,"Due today",IF(AND(INDEX(Buffers!$L:$L,MATCH($H1522,Buffers!$AE:$AE,0))="Planned",$E1522&gt;0,INT($B1522)&lt;=PlanDate+ROUNDUP(IF(ISNUMBER(SpikeHorizon),SpikeHorizon,INDEX(Buffers!$D:$D,MATCH($H1522,Buffers!$AE:$AE,0))),0),$E1522&gt;=SpikePct*INDEX(Buffers!$P:$P,MATCH($H1522,Buffers!$AE:$AE,0))),"Spike","Not qualified"))))))</f>
        <v/>
      </c>
      <c r="G1522" s="8" t="str">
        <f aca="false">IF($A1522="","",IF(OR($F1522="Past due",$F1522="Due today",$F1522="Spike"),$C1522,0))</f>
        <v/>
      </c>
      <c r="H1522" s="8" t="str">
        <f aca="false">IF($A1522="","",SUBSTITUTE(SUBSTITUTE(SUBSTITUTE($A1522&amp;"","~","~~"),"*","~*"),"?","~?"))</f>
        <v/>
      </c>
    </row>
    <row r="1523" customFormat="false" ht="15" hidden="false" customHeight="false" outlineLevel="0" collapsed="false">
      <c r="A1523" s="11"/>
      <c r="B1523" s="6"/>
      <c r="C1523" s="11"/>
      <c r="D1523" s="11"/>
      <c r="E1523" s="8" t="str">
        <f aca="false">IF($A1523="","",SUMIFS($C:$C,$A:$A,$H1523,$B:$B,"&gt;="&amp;INT($B1523),$B:$B,"&lt;"&amp;(INT($B1523)+1)))</f>
        <v/>
      </c>
      <c r="F1523" s="19" t="str">
        <f aca="false">IF($A1523="","",IF(ISNA(MATCH($H1523,Buffers!$AE:$AE,0)),"Not on Buffers",IF(NOT(ISNUMBER($B1523)),"Needs a date",IF(INT($B1523)&lt;PlanDate,"Past due",IF(INT($B1523)=PlanDate,"Due today",IF(AND(INDEX(Buffers!$L:$L,MATCH($H1523,Buffers!$AE:$AE,0))="Planned",$E1523&gt;0,INT($B1523)&lt;=PlanDate+ROUNDUP(IF(ISNUMBER(SpikeHorizon),SpikeHorizon,INDEX(Buffers!$D:$D,MATCH($H1523,Buffers!$AE:$AE,0))),0),$E1523&gt;=SpikePct*INDEX(Buffers!$P:$P,MATCH($H1523,Buffers!$AE:$AE,0))),"Spike","Not qualified"))))))</f>
        <v/>
      </c>
      <c r="G1523" s="8" t="str">
        <f aca="false">IF($A1523="","",IF(OR($F1523="Past due",$F1523="Due today",$F1523="Spike"),$C1523,0))</f>
        <v/>
      </c>
      <c r="H1523" s="8" t="str">
        <f aca="false">IF($A1523="","",SUBSTITUTE(SUBSTITUTE(SUBSTITUTE($A1523&amp;"","~","~~"),"*","~*"),"?","~?"))</f>
        <v/>
      </c>
    </row>
    <row r="1524" customFormat="false" ht="15" hidden="false" customHeight="false" outlineLevel="0" collapsed="false">
      <c r="A1524" s="11"/>
      <c r="B1524" s="6"/>
      <c r="C1524" s="11"/>
      <c r="D1524" s="11"/>
      <c r="E1524" s="8" t="str">
        <f aca="false">IF($A1524="","",SUMIFS($C:$C,$A:$A,$H1524,$B:$B,"&gt;="&amp;INT($B1524),$B:$B,"&lt;"&amp;(INT($B1524)+1)))</f>
        <v/>
      </c>
      <c r="F1524" s="19" t="str">
        <f aca="false">IF($A1524="","",IF(ISNA(MATCH($H1524,Buffers!$AE:$AE,0)),"Not on Buffers",IF(NOT(ISNUMBER($B1524)),"Needs a date",IF(INT($B1524)&lt;PlanDate,"Past due",IF(INT($B1524)=PlanDate,"Due today",IF(AND(INDEX(Buffers!$L:$L,MATCH($H1524,Buffers!$AE:$AE,0))="Planned",$E1524&gt;0,INT($B1524)&lt;=PlanDate+ROUNDUP(IF(ISNUMBER(SpikeHorizon),SpikeHorizon,INDEX(Buffers!$D:$D,MATCH($H1524,Buffers!$AE:$AE,0))),0),$E1524&gt;=SpikePct*INDEX(Buffers!$P:$P,MATCH($H1524,Buffers!$AE:$AE,0))),"Spike","Not qualified"))))))</f>
        <v/>
      </c>
      <c r="G1524" s="8" t="str">
        <f aca="false">IF($A1524="","",IF(OR($F1524="Past due",$F1524="Due today",$F1524="Spike"),$C1524,0))</f>
        <v/>
      </c>
      <c r="H1524" s="8" t="str">
        <f aca="false">IF($A1524="","",SUBSTITUTE(SUBSTITUTE(SUBSTITUTE($A1524&amp;"","~","~~"),"*","~*"),"?","~?"))</f>
        <v/>
      </c>
    </row>
    <row r="1525" customFormat="false" ht="15" hidden="false" customHeight="false" outlineLevel="0" collapsed="false">
      <c r="A1525" s="11"/>
      <c r="B1525" s="6"/>
      <c r="C1525" s="11"/>
      <c r="D1525" s="11"/>
      <c r="E1525" s="8" t="str">
        <f aca="false">IF($A1525="","",SUMIFS($C:$C,$A:$A,$H1525,$B:$B,"&gt;="&amp;INT($B1525),$B:$B,"&lt;"&amp;(INT($B1525)+1)))</f>
        <v/>
      </c>
      <c r="F1525" s="19" t="str">
        <f aca="false">IF($A1525="","",IF(ISNA(MATCH($H1525,Buffers!$AE:$AE,0)),"Not on Buffers",IF(NOT(ISNUMBER($B1525)),"Needs a date",IF(INT($B1525)&lt;PlanDate,"Past due",IF(INT($B1525)=PlanDate,"Due today",IF(AND(INDEX(Buffers!$L:$L,MATCH($H1525,Buffers!$AE:$AE,0))="Planned",$E1525&gt;0,INT($B1525)&lt;=PlanDate+ROUNDUP(IF(ISNUMBER(SpikeHorizon),SpikeHorizon,INDEX(Buffers!$D:$D,MATCH($H1525,Buffers!$AE:$AE,0))),0),$E1525&gt;=SpikePct*INDEX(Buffers!$P:$P,MATCH($H1525,Buffers!$AE:$AE,0))),"Spike","Not qualified"))))))</f>
        <v/>
      </c>
      <c r="G1525" s="8" t="str">
        <f aca="false">IF($A1525="","",IF(OR($F1525="Past due",$F1525="Due today",$F1525="Spike"),$C1525,0))</f>
        <v/>
      </c>
      <c r="H1525" s="8" t="str">
        <f aca="false">IF($A1525="","",SUBSTITUTE(SUBSTITUTE(SUBSTITUTE($A1525&amp;"","~","~~"),"*","~*"),"?","~?"))</f>
        <v/>
      </c>
    </row>
    <row r="1526" customFormat="false" ht="15" hidden="false" customHeight="false" outlineLevel="0" collapsed="false">
      <c r="A1526" s="11"/>
      <c r="B1526" s="6"/>
      <c r="C1526" s="11"/>
      <c r="D1526" s="11"/>
      <c r="E1526" s="8" t="str">
        <f aca="false">IF($A1526="","",SUMIFS($C:$C,$A:$A,$H1526,$B:$B,"&gt;="&amp;INT($B1526),$B:$B,"&lt;"&amp;(INT($B1526)+1)))</f>
        <v/>
      </c>
      <c r="F1526" s="19" t="str">
        <f aca="false">IF($A1526="","",IF(ISNA(MATCH($H1526,Buffers!$AE:$AE,0)),"Not on Buffers",IF(NOT(ISNUMBER($B1526)),"Needs a date",IF(INT($B1526)&lt;PlanDate,"Past due",IF(INT($B1526)=PlanDate,"Due today",IF(AND(INDEX(Buffers!$L:$L,MATCH($H1526,Buffers!$AE:$AE,0))="Planned",$E1526&gt;0,INT($B1526)&lt;=PlanDate+ROUNDUP(IF(ISNUMBER(SpikeHorizon),SpikeHorizon,INDEX(Buffers!$D:$D,MATCH($H1526,Buffers!$AE:$AE,0))),0),$E1526&gt;=SpikePct*INDEX(Buffers!$P:$P,MATCH($H1526,Buffers!$AE:$AE,0))),"Spike","Not qualified"))))))</f>
        <v/>
      </c>
      <c r="G1526" s="8" t="str">
        <f aca="false">IF($A1526="","",IF(OR($F1526="Past due",$F1526="Due today",$F1526="Spike"),$C1526,0))</f>
        <v/>
      </c>
      <c r="H1526" s="8" t="str">
        <f aca="false">IF($A1526="","",SUBSTITUTE(SUBSTITUTE(SUBSTITUTE($A1526&amp;"","~","~~"),"*","~*"),"?","~?"))</f>
        <v/>
      </c>
    </row>
    <row r="1527" customFormat="false" ht="15" hidden="false" customHeight="false" outlineLevel="0" collapsed="false">
      <c r="A1527" s="11"/>
      <c r="B1527" s="6"/>
      <c r="C1527" s="11"/>
      <c r="D1527" s="11"/>
      <c r="E1527" s="8" t="str">
        <f aca="false">IF($A1527="","",SUMIFS($C:$C,$A:$A,$H1527,$B:$B,"&gt;="&amp;INT($B1527),$B:$B,"&lt;"&amp;(INT($B1527)+1)))</f>
        <v/>
      </c>
      <c r="F1527" s="19" t="str">
        <f aca="false">IF($A1527="","",IF(ISNA(MATCH($H1527,Buffers!$AE:$AE,0)),"Not on Buffers",IF(NOT(ISNUMBER($B1527)),"Needs a date",IF(INT($B1527)&lt;PlanDate,"Past due",IF(INT($B1527)=PlanDate,"Due today",IF(AND(INDEX(Buffers!$L:$L,MATCH($H1527,Buffers!$AE:$AE,0))="Planned",$E1527&gt;0,INT($B1527)&lt;=PlanDate+ROUNDUP(IF(ISNUMBER(SpikeHorizon),SpikeHorizon,INDEX(Buffers!$D:$D,MATCH($H1527,Buffers!$AE:$AE,0))),0),$E1527&gt;=SpikePct*INDEX(Buffers!$P:$P,MATCH($H1527,Buffers!$AE:$AE,0))),"Spike","Not qualified"))))))</f>
        <v/>
      </c>
      <c r="G1527" s="8" t="str">
        <f aca="false">IF($A1527="","",IF(OR($F1527="Past due",$F1527="Due today",$F1527="Spike"),$C1527,0))</f>
        <v/>
      </c>
      <c r="H1527" s="8" t="str">
        <f aca="false">IF($A1527="","",SUBSTITUTE(SUBSTITUTE(SUBSTITUTE($A1527&amp;"","~","~~"),"*","~*"),"?","~?"))</f>
        <v/>
      </c>
    </row>
    <row r="1528" customFormat="false" ht="15" hidden="false" customHeight="false" outlineLevel="0" collapsed="false">
      <c r="A1528" s="11"/>
      <c r="B1528" s="6"/>
      <c r="C1528" s="11"/>
      <c r="D1528" s="11"/>
      <c r="E1528" s="8" t="str">
        <f aca="false">IF($A1528="","",SUMIFS($C:$C,$A:$A,$H1528,$B:$B,"&gt;="&amp;INT($B1528),$B:$B,"&lt;"&amp;(INT($B1528)+1)))</f>
        <v/>
      </c>
      <c r="F1528" s="19" t="str">
        <f aca="false">IF($A1528="","",IF(ISNA(MATCH($H1528,Buffers!$AE:$AE,0)),"Not on Buffers",IF(NOT(ISNUMBER($B1528)),"Needs a date",IF(INT($B1528)&lt;PlanDate,"Past due",IF(INT($B1528)=PlanDate,"Due today",IF(AND(INDEX(Buffers!$L:$L,MATCH($H1528,Buffers!$AE:$AE,0))="Planned",$E1528&gt;0,INT($B1528)&lt;=PlanDate+ROUNDUP(IF(ISNUMBER(SpikeHorizon),SpikeHorizon,INDEX(Buffers!$D:$D,MATCH($H1528,Buffers!$AE:$AE,0))),0),$E1528&gt;=SpikePct*INDEX(Buffers!$P:$P,MATCH($H1528,Buffers!$AE:$AE,0))),"Spike","Not qualified"))))))</f>
        <v/>
      </c>
      <c r="G1528" s="8" t="str">
        <f aca="false">IF($A1528="","",IF(OR($F1528="Past due",$F1528="Due today",$F1528="Spike"),$C1528,0))</f>
        <v/>
      </c>
      <c r="H1528" s="8" t="str">
        <f aca="false">IF($A1528="","",SUBSTITUTE(SUBSTITUTE(SUBSTITUTE($A1528&amp;"","~","~~"),"*","~*"),"?","~?"))</f>
        <v/>
      </c>
    </row>
    <row r="1529" customFormat="false" ht="15" hidden="false" customHeight="false" outlineLevel="0" collapsed="false">
      <c r="A1529" s="11"/>
      <c r="B1529" s="6"/>
      <c r="C1529" s="11"/>
      <c r="D1529" s="11"/>
      <c r="E1529" s="8" t="str">
        <f aca="false">IF($A1529="","",SUMIFS($C:$C,$A:$A,$H1529,$B:$B,"&gt;="&amp;INT($B1529),$B:$B,"&lt;"&amp;(INT($B1529)+1)))</f>
        <v/>
      </c>
      <c r="F1529" s="19" t="str">
        <f aca="false">IF($A1529="","",IF(ISNA(MATCH($H1529,Buffers!$AE:$AE,0)),"Not on Buffers",IF(NOT(ISNUMBER($B1529)),"Needs a date",IF(INT($B1529)&lt;PlanDate,"Past due",IF(INT($B1529)=PlanDate,"Due today",IF(AND(INDEX(Buffers!$L:$L,MATCH($H1529,Buffers!$AE:$AE,0))="Planned",$E1529&gt;0,INT($B1529)&lt;=PlanDate+ROUNDUP(IF(ISNUMBER(SpikeHorizon),SpikeHorizon,INDEX(Buffers!$D:$D,MATCH($H1529,Buffers!$AE:$AE,0))),0),$E1529&gt;=SpikePct*INDEX(Buffers!$P:$P,MATCH($H1529,Buffers!$AE:$AE,0))),"Spike","Not qualified"))))))</f>
        <v/>
      </c>
      <c r="G1529" s="8" t="str">
        <f aca="false">IF($A1529="","",IF(OR($F1529="Past due",$F1529="Due today",$F1529="Spike"),$C1529,0))</f>
        <v/>
      </c>
      <c r="H1529" s="8" t="str">
        <f aca="false">IF($A1529="","",SUBSTITUTE(SUBSTITUTE(SUBSTITUTE($A1529&amp;"","~","~~"),"*","~*"),"?","~?"))</f>
        <v/>
      </c>
    </row>
    <row r="1530" customFormat="false" ht="15" hidden="false" customHeight="false" outlineLevel="0" collapsed="false">
      <c r="A1530" s="11"/>
      <c r="B1530" s="6"/>
      <c r="C1530" s="11"/>
      <c r="D1530" s="11"/>
      <c r="E1530" s="8" t="str">
        <f aca="false">IF($A1530="","",SUMIFS($C:$C,$A:$A,$H1530,$B:$B,"&gt;="&amp;INT($B1530),$B:$B,"&lt;"&amp;(INT($B1530)+1)))</f>
        <v/>
      </c>
      <c r="F1530" s="19" t="str">
        <f aca="false">IF($A1530="","",IF(ISNA(MATCH($H1530,Buffers!$AE:$AE,0)),"Not on Buffers",IF(NOT(ISNUMBER($B1530)),"Needs a date",IF(INT($B1530)&lt;PlanDate,"Past due",IF(INT($B1530)=PlanDate,"Due today",IF(AND(INDEX(Buffers!$L:$L,MATCH($H1530,Buffers!$AE:$AE,0))="Planned",$E1530&gt;0,INT($B1530)&lt;=PlanDate+ROUNDUP(IF(ISNUMBER(SpikeHorizon),SpikeHorizon,INDEX(Buffers!$D:$D,MATCH($H1530,Buffers!$AE:$AE,0))),0),$E1530&gt;=SpikePct*INDEX(Buffers!$P:$P,MATCH($H1530,Buffers!$AE:$AE,0))),"Spike","Not qualified"))))))</f>
        <v/>
      </c>
      <c r="G1530" s="8" t="str">
        <f aca="false">IF($A1530="","",IF(OR($F1530="Past due",$F1530="Due today",$F1530="Spike"),$C1530,0))</f>
        <v/>
      </c>
      <c r="H1530" s="8" t="str">
        <f aca="false">IF($A1530="","",SUBSTITUTE(SUBSTITUTE(SUBSTITUTE($A1530&amp;"","~","~~"),"*","~*"),"?","~?"))</f>
        <v/>
      </c>
    </row>
    <row r="1531" customFormat="false" ht="15" hidden="false" customHeight="false" outlineLevel="0" collapsed="false">
      <c r="A1531" s="11"/>
      <c r="B1531" s="6"/>
      <c r="C1531" s="11"/>
      <c r="D1531" s="11"/>
      <c r="E1531" s="8" t="str">
        <f aca="false">IF($A1531="","",SUMIFS($C:$C,$A:$A,$H1531,$B:$B,"&gt;="&amp;INT($B1531),$B:$B,"&lt;"&amp;(INT($B1531)+1)))</f>
        <v/>
      </c>
      <c r="F1531" s="19" t="str">
        <f aca="false">IF($A1531="","",IF(ISNA(MATCH($H1531,Buffers!$AE:$AE,0)),"Not on Buffers",IF(NOT(ISNUMBER($B1531)),"Needs a date",IF(INT($B1531)&lt;PlanDate,"Past due",IF(INT($B1531)=PlanDate,"Due today",IF(AND(INDEX(Buffers!$L:$L,MATCH($H1531,Buffers!$AE:$AE,0))="Planned",$E1531&gt;0,INT($B1531)&lt;=PlanDate+ROUNDUP(IF(ISNUMBER(SpikeHorizon),SpikeHorizon,INDEX(Buffers!$D:$D,MATCH($H1531,Buffers!$AE:$AE,0))),0),$E1531&gt;=SpikePct*INDEX(Buffers!$P:$P,MATCH($H1531,Buffers!$AE:$AE,0))),"Spike","Not qualified"))))))</f>
        <v/>
      </c>
      <c r="G1531" s="8" t="str">
        <f aca="false">IF($A1531="","",IF(OR($F1531="Past due",$F1531="Due today",$F1531="Spike"),$C1531,0))</f>
        <v/>
      </c>
      <c r="H1531" s="8" t="str">
        <f aca="false">IF($A1531="","",SUBSTITUTE(SUBSTITUTE(SUBSTITUTE($A1531&amp;"","~","~~"),"*","~*"),"?","~?"))</f>
        <v/>
      </c>
    </row>
    <row r="1532" customFormat="false" ht="15" hidden="false" customHeight="false" outlineLevel="0" collapsed="false">
      <c r="A1532" s="11"/>
      <c r="B1532" s="6"/>
      <c r="C1532" s="11"/>
      <c r="D1532" s="11"/>
      <c r="E1532" s="8" t="str">
        <f aca="false">IF($A1532="","",SUMIFS($C:$C,$A:$A,$H1532,$B:$B,"&gt;="&amp;INT($B1532),$B:$B,"&lt;"&amp;(INT($B1532)+1)))</f>
        <v/>
      </c>
      <c r="F1532" s="19" t="str">
        <f aca="false">IF($A1532="","",IF(ISNA(MATCH($H1532,Buffers!$AE:$AE,0)),"Not on Buffers",IF(NOT(ISNUMBER($B1532)),"Needs a date",IF(INT($B1532)&lt;PlanDate,"Past due",IF(INT($B1532)=PlanDate,"Due today",IF(AND(INDEX(Buffers!$L:$L,MATCH($H1532,Buffers!$AE:$AE,0))="Planned",$E1532&gt;0,INT($B1532)&lt;=PlanDate+ROUNDUP(IF(ISNUMBER(SpikeHorizon),SpikeHorizon,INDEX(Buffers!$D:$D,MATCH($H1532,Buffers!$AE:$AE,0))),0),$E1532&gt;=SpikePct*INDEX(Buffers!$P:$P,MATCH($H1532,Buffers!$AE:$AE,0))),"Spike","Not qualified"))))))</f>
        <v/>
      </c>
      <c r="G1532" s="8" t="str">
        <f aca="false">IF($A1532="","",IF(OR($F1532="Past due",$F1532="Due today",$F1532="Spike"),$C1532,0))</f>
        <v/>
      </c>
      <c r="H1532" s="8" t="str">
        <f aca="false">IF($A1532="","",SUBSTITUTE(SUBSTITUTE(SUBSTITUTE($A1532&amp;"","~","~~"),"*","~*"),"?","~?"))</f>
        <v/>
      </c>
    </row>
    <row r="1533" customFormat="false" ht="15" hidden="false" customHeight="false" outlineLevel="0" collapsed="false">
      <c r="A1533" s="11"/>
      <c r="B1533" s="6"/>
      <c r="C1533" s="11"/>
      <c r="D1533" s="11"/>
      <c r="E1533" s="8" t="str">
        <f aca="false">IF($A1533="","",SUMIFS($C:$C,$A:$A,$H1533,$B:$B,"&gt;="&amp;INT($B1533),$B:$B,"&lt;"&amp;(INT($B1533)+1)))</f>
        <v/>
      </c>
      <c r="F1533" s="19" t="str">
        <f aca="false">IF($A1533="","",IF(ISNA(MATCH($H1533,Buffers!$AE:$AE,0)),"Not on Buffers",IF(NOT(ISNUMBER($B1533)),"Needs a date",IF(INT($B1533)&lt;PlanDate,"Past due",IF(INT($B1533)=PlanDate,"Due today",IF(AND(INDEX(Buffers!$L:$L,MATCH($H1533,Buffers!$AE:$AE,0))="Planned",$E1533&gt;0,INT($B1533)&lt;=PlanDate+ROUNDUP(IF(ISNUMBER(SpikeHorizon),SpikeHorizon,INDEX(Buffers!$D:$D,MATCH($H1533,Buffers!$AE:$AE,0))),0),$E1533&gt;=SpikePct*INDEX(Buffers!$P:$P,MATCH($H1533,Buffers!$AE:$AE,0))),"Spike","Not qualified"))))))</f>
        <v/>
      </c>
      <c r="G1533" s="8" t="str">
        <f aca="false">IF($A1533="","",IF(OR($F1533="Past due",$F1533="Due today",$F1533="Spike"),$C1533,0))</f>
        <v/>
      </c>
      <c r="H1533" s="8" t="str">
        <f aca="false">IF($A1533="","",SUBSTITUTE(SUBSTITUTE(SUBSTITUTE($A1533&amp;"","~","~~"),"*","~*"),"?","~?"))</f>
        <v/>
      </c>
    </row>
    <row r="1534" customFormat="false" ht="15" hidden="false" customHeight="false" outlineLevel="0" collapsed="false">
      <c r="A1534" s="11"/>
      <c r="B1534" s="6"/>
      <c r="C1534" s="11"/>
      <c r="D1534" s="11"/>
      <c r="E1534" s="8" t="str">
        <f aca="false">IF($A1534="","",SUMIFS($C:$C,$A:$A,$H1534,$B:$B,"&gt;="&amp;INT($B1534),$B:$B,"&lt;"&amp;(INT($B1534)+1)))</f>
        <v/>
      </c>
      <c r="F1534" s="19" t="str">
        <f aca="false">IF($A1534="","",IF(ISNA(MATCH($H1534,Buffers!$AE:$AE,0)),"Not on Buffers",IF(NOT(ISNUMBER($B1534)),"Needs a date",IF(INT($B1534)&lt;PlanDate,"Past due",IF(INT($B1534)=PlanDate,"Due today",IF(AND(INDEX(Buffers!$L:$L,MATCH($H1534,Buffers!$AE:$AE,0))="Planned",$E1534&gt;0,INT($B1534)&lt;=PlanDate+ROUNDUP(IF(ISNUMBER(SpikeHorizon),SpikeHorizon,INDEX(Buffers!$D:$D,MATCH($H1534,Buffers!$AE:$AE,0))),0),$E1534&gt;=SpikePct*INDEX(Buffers!$P:$P,MATCH($H1534,Buffers!$AE:$AE,0))),"Spike","Not qualified"))))))</f>
        <v/>
      </c>
      <c r="G1534" s="8" t="str">
        <f aca="false">IF($A1534="","",IF(OR($F1534="Past due",$F1534="Due today",$F1534="Spike"),$C1534,0))</f>
        <v/>
      </c>
      <c r="H1534" s="8" t="str">
        <f aca="false">IF($A1534="","",SUBSTITUTE(SUBSTITUTE(SUBSTITUTE($A1534&amp;"","~","~~"),"*","~*"),"?","~?"))</f>
        <v/>
      </c>
    </row>
    <row r="1535" customFormat="false" ht="15" hidden="false" customHeight="false" outlineLevel="0" collapsed="false">
      <c r="A1535" s="11"/>
      <c r="B1535" s="6"/>
      <c r="C1535" s="11"/>
      <c r="D1535" s="11"/>
      <c r="E1535" s="8" t="str">
        <f aca="false">IF($A1535="","",SUMIFS($C:$C,$A:$A,$H1535,$B:$B,"&gt;="&amp;INT($B1535),$B:$B,"&lt;"&amp;(INT($B1535)+1)))</f>
        <v/>
      </c>
      <c r="F1535" s="19" t="str">
        <f aca="false">IF($A1535="","",IF(ISNA(MATCH($H1535,Buffers!$AE:$AE,0)),"Not on Buffers",IF(NOT(ISNUMBER($B1535)),"Needs a date",IF(INT($B1535)&lt;PlanDate,"Past due",IF(INT($B1535)=PlanDate,"Due today",IF(AND(INDEX(Buffers!$L:$L,MATCH($H1535,Buffers!$AE:$AE,0))="Planned",$E1535&gt;0,INT($B1535)&lt;=PlanDate+ROUNDUP(IF(ISNUMBER(SpikeHorizon),SpikeHorizon,INDEX(Buffers!$D:$D,MATCH($H1535,Buffers!$AE:$AE,0))),0),$E1535&gt;=SpikePct*INDEX(Buffers!$P:$P,MATCH($H1535,Buffers!$AE:$AE,0))),"Spike","Not qualified"))))))</f>
        <v/>
      </c>
      <c r="G1535" s="8" t="str">
        <f aca="false">IF($A1535="","",IF(OR($F1535="Past due",$F1535="Due today",$F1535="Spike"),$C1535,0))</f>
        <v/>
      </c>
      <c r="H1535" s="8" t="str">
        <f aca="false">IF($A1535="","",SUBSTITUTE(SUBSTITUTE(SUBSTITUTE($A1535&amp;"","~","~~"),"*","~*"),"?","~?"))</f>
        <v/>
      </c>
    </row>
    <row r="1536" customFormat="false" ht="15" hidden="false" customHeight="false" outlineLevel="0" collapsed="false">
      <c r="A1536" s="11"/>
      <c r="B1536" s="6"/>
      <c r="C1536" s="11"/>
      <c r="D1536" s="11"/>
      <c r="E1536" s="8" t="str">
        <f aca="false">IF($A1536="","",SUMIFS($C:$C,$A:$A,$H1536,$B:$B,"&gt;="&amp;INT($B1536),$B:$B,"&lt;"&amp;(INT($B1536)+1)))</f>
        <v/>
      </c>
      <c r="F1536" s="19" t="str">
        <f aca="false">IF($A1536="","",IF(ISNA(MATCH($H1536,Buffers!$AE:$AE,0)),"Not on Buffers",IF(NOT(ISNUMBER($B1536)),"Needs a date",IF(INT($B1536)&lt;PlanDate,"Past due",IF(INT($B1536)=PlanDate,"Due today",IF(AND(INDEX(Buffers!$L:$L,MATCH($H1536,Buffers!$AE:$AE,0))="Planned",$E1536&gt;0,INT($B1536)&lt;=PlanDate+ROUNDUP(IF(ISNUMBER(SpikeHorizon),SpikeHorizon,INDEX(Buffers!$D:$D,MATCH($H1536,Buffers!$AE:$AE,0))),0),$E1536&gt;=SpikePct*INDEX(Buffers!$P:$P,MATCH($H1536,Buffers!$AE:$AE,0))),"Spike","Not qualified"))))))</f>
        <v/>
      </c>
      <c r="G1536" s="8" t="str">
        <f aca="false">IF($A1536="","",IF(OR($F1536="Past due",$F1536="Due today",$F1536="Spike"),$C1536,0))</f>
        <v/>
      </c>
      <c r="H1536" s="8" t="str">
        <f aca="false">IF($A1536="","",SUBSTITUTE(SUBSTITUTE(SUBSTITUTE($A1536&amp;"","~","~~"),"*","~*"),"?","~?"))</f>
        <v/>
      </c>
    </row>
    <row r="1537" customFormat="false" ht="15" hidden="false" customHeight="false" outlineLevel="0" collapsed="false">
      <c r="A1537" s="11"/>
      <c r="B1537" s="6"/>
      <c r="C1537" s="11"/>
      <c r="D1537" s="11"/>
      <c r="E1537" s="8" t="str">
        <f aca="false">IF($A1537="","",SUMIFS($C:$C,$A:$A,$H1537,$B:$B,"&gt;="&amp;INT($B1537),$B:$B,"&lt;"&amp;(INT($B1537)+1)))</f>
        <v/>
      </c>
      <c r="F1537" s="19" t="str">
        <f aca="false">IF($A1537="","",IF(ISNA(MATCH($H1537,Buffers!$AE:$AE,0)),"Not on Buffers",IF(NOT(ISNUMBER($B1537)),"Needs a date",IF(INT($B1537)&lt;PlanDate,"Past due",IF(INT($B1537)=PlanDate,"Due today",IF(AND(INDEX(Buffers!$L:$L,MATCH($H1537,Buffers!$AE:$AE,0))="Planned",$E1537&gt;0,INT($B1537)&lt;=PlanDate+ROUNDUP(IF(ISNUMBER(SpikeHorizon),SpikeHorizon,INDEX(Buffers!$D:$D,MATCH($H1537,Buffers!$AE:$AE,0))),0),$E1537&gt;=SpikePct*INDEX(Buffers!$P:$P,MATCH($H1537,Buffers!$AE:$AE,0))),"Spike","Not qualified"))))))</f>
        <v/>
      </c>
      <c r="G1537" s="8" t="str">
        <f aca="false">IF($A1537="","",IF(OR($F1537="Past due",$F1537="Due today",$F1537="Spike"),$C1537,0))</f>
        <v/>
      </c>
      <c r="H1537" s="8" t="str">
        <f aca="false">IF($A1537="","",SUBSTITUTE(SUBSTITUTE(SUBSTITUTE($A1537&amp;"","~","~~"),"*","~*"),"?","~?"))</f>
        <v/>
      </c>
    </row>
    <row r="1538" customFormat="false" ht="15" hidden="false" customHeight="false" outlineLevel="0" collapsed="false">
      <c r="A1538" s="11"/>
      <c r="B1538" s="6"/>
      <c r="C1538" s="11"/>
      <c r="D1538" s="11"/>
      <c r="E1538" s="8" t="str">
        <f aca="false">IF($A1538="","",SUMIFS($C:$C,$A:$A,$H1538,$B:$B,"&gt;="&amp;INT($B1538),$B:$B,"&lt;"&amp;(INT($B1538)+1)))</f>
        <v/>
      </c>
      <c r="F1538" s="19" t="str">
        <f aca="false">IF($A1538="","",IF(ISNA(MATCH($H1538,Buffers!$AE:$AE,0)),"Not on Buffers",IF(NOT(ISNUMBER($B1538)),"Needs a date",IF(INT($B1538)&lt;PlanDate,"Past due",IF(INT($B1538)=PlanDate,"Due today",IF(AND(INDEX(Buffers!$L:$L,MATCH($H1538,Buffers!$AE:$AE,0))="Planned",$E1538&gt;0,INT($B1538)&lt;=PlanDate+ROUNDUP(IF(ISNUMBER(SpikeHorizon),SpikeHorizon,INDEX(Buffers!$D:$D,MATCH($H1538,Buffers!$AE:$AE,0))),0),$E1538&gt;=SpikePct*INDEX(Buffers!$P:$P,MATCH($H1538,Buffers!$AE:$AE,0))),"Spike","Not qualified"))))))</f>
        <v/>
      </c>
      <c r="G1538" s="8" t="str">
        <f aca="false">IF($A1538="","",IF(OR($F1538="Past due",$F1538="Due today",$F1538="Spike"),$C1538,0))</f>
        <v/>
      </c>
      <c r="H1538" s="8" t="str">
        <f aca="false">IF($A1538="","",SUBSTITUTE(SUBSTITUTE(SUBSTITUTE($A1538&amp;"","~","~~"),"*","~*"),"?","~?"))</f>
        <v/>
      </c>
    </row>
    <row r="1539" customFormat="false" ht="15" hidden="false" customHeight="false" outlineLevel="0" collapsed="false">
      <c r="A1539" s="11"/>
      <c r="B1539" s="6"/>
      <c r="C1539" s="11"/>
      <c r="D1539" s="11"/>
      <c r="E1539" s="8" t="str">
        <f aca="false">IF($A1539="","",SUMIFS($C:$C,$A:$A,$H1539,$B:$B,"&gt;="&amp;INT($B1539),$B:$B,"&lt;"&amp;(INT($B1539)+1)))</f>
        <v/>
      </c>
      <c r="F1539" s="19" t="str">
        <f aca="false">IF($A1539="","",IF(ISNA(MATCH($H1539,Buffers!$AE:$AE,0)),"Not on Buffers",IF(NOT(ISNUMBER($B1539)),"Needs a date",IF(INT($B1539)&lt;PlanDate,"Past due",IF(INT($B1539)=PlanDate,"Due today",IF(AND(INDEX(Buffers!$L:$L,MATCH($H1539,Buffers!$AE:$AE,0))="Planned",$E1539&gt;0,INT($B1539)&lt;=PlanDate+ROUNDUP(IF(ISNUMBER(SpikeHorizon),SpikeHorizon,INDEX(Buffers!$D:$D,MATCH($H1539,Buffers!$AE:$AE,0))),0),$E1539&gt;=SpikePct*INDEX(Buffers!$P:$P,MATCH($H1539,Buffers!$AE:$AE,0))),"Spike","Not qualified"))))))</f>
        <v/>
      </c>
      <c r="G1539" s="8" t="str">
        <f aca="false">IF($A1539="","",IF(OR($F1539="Past due",$F1539="Due today",$F1539="Spike"),$C1539,0))</f>
        <v/>
      </c>
      <c r="H1539" s="8" t="str">
        <f aca="false">IF($A1539="","",SUBSTITUTE(SUBSTITUTE(SUBSTITUTE($A1539&amp;"","~","~~"),"*","~*"),"?","~?"))</f>
        <v/>
      </c>
    </row>
    <row r="1540" customFormat="false" ht="15" hidden="false" customHeight="false" outlineLevel="0" collapsed="false">
      <c r="A1540" s="11"/>
      <c r="B1540" s="6"/>
      <c r="C1540" s="11"/>
      <c r="D1540" s="11"/>
      <c r="E1540" s="8" t="str">
        <f aca="false">IF($A1540="","",SUMIFS($C:$C,$A:$A,$H1540,$B:$B,"&gt;="&amp;INT($B1540),$B:$B,"&lt;"&amp;(INT($B1540)+1)))</f>
        <v/>
      </c>
      <c r="F1540" s="19" t="str">
        <f aca="false">IF($A1540="","",IF(ISNA(MATCH($H1540,Buffers!$AE:$AE,0)),"Not on Buffers",IF(NOT(ISNUMBER($B1540)),"Needs a date",IF(INT($B1540)&lt;PlanDate,"Past due",IF(INT($B1540)=PlanDate,"Due today",IF(AND(INDEX(Buffers!$L:$L,MATCH($H1540,Buffers!$AE:$AE,0))="Planned",$E1540&gt;0,INT($B1540)&lt;=PlanDate+ROUNDUP(IF(ISNUMBER(SpikeHorizon),SpikeHorizon,INDEX(Buffers!$D:$D,MATCH($H1540,Buffers!$AE:$AE,0))),0),$E1540&gt;=SpikePct*INDEX(Buffers!$P:$P,MATCH($H1540,Buffers!$AE:$AE,0))),"Spike","Not qualified"))))))</f>
        <v/>
      </c>
      <c r="G1540" s="8" t="str">
        <f aca="false">IF($A1540="","",IF(OR($F1540="Past due",$F1540="Due today",$F1540="Spike"),$C1540,0))</f>
        <v/>
      </c>
      <c r="H1540" s="8" t="str">
        <f aca="false">IF($A1540="","",SUBSTITUTE(SUBSTITUTE(SUBSTITUTE($A1540&amp;"","~","~~"),"*","~*"),"?","~?"))</f>
        <v/>
      </c>
    </row>
    <row r="1541" customFormat="false" ht="15" hidden="false" customHeight="false" outlineLevel="0" collapsed="false">
      <c r="A1541" s="11"/>
      <c r="B1541" s="6"/>
      <c r="C1541" s="11"/>
      <c r="D1541" s="11"/>
      <c r="E1541" s="8" t="str">
        <f aca="false">IF($A1541="","",SUMIFS($C:$C,$A:$A,$H1541,$B:$B,"&gt;="&amp;INT($B1541),$B:$B,"&lt;"&amp;(INT($B1541)+1)))</f>
        <v/>
      </c>
      <c r="F1541" s="19" t="str">
        <f aca="false">IF($A1541="","",IF(ISNA(MATCH($H1541,Buffers!$AE:$AE,0)),"Not on Buffers",IF(NOT(ISNUMBER($B1541)),"Needs a date",IF(INT($B1541)&lt;PlanDate,"Past due",IF(INT($B1541)=PlanDate,"Due today",IF(AND(INDEX(Buffers!$L:$L,MATCH($H1541,Buffers!$AE:$AE,0))="Planned",$E1541&gt;0,INT($B1541)&lt;=PlanDate+ROUNDUP(IF(ISNUMBER(SpikeHorizon),SpikeHorizon,INDEX(Buffers!$D:$D,MATCH($H1541,Buffers!$AE:$AE,0))),0),$E1541&gt;=SpikePct*INDEX(Buffers!$P:$P,MATCH($H1541,Buffers!$AE:$AE,0))),"Spike","Not qualified"))))))</f>
        <v/>
      </c>
      <c r="G1541" s="8" t="str">
        <f aca="false">IF($A1541="","",IF(OR($F1541="Past due",$F1541="Due today",$F1541="Spike"),$C1541,0))</f>
        <v/>
      </c>
      <c r="H1541" s="8" t="str">
        <f aca="false">IF($A1541="","",SUBSTITUTE(SUBSTITUTE(SUBSTITUTE($A1541&amp;"","~","~~"),"*","~*"),"?","~?"))</f>
        <v/>
      </c>
    </row>
    <row r="1542" customFormat="false" ht="15" hidden="false" customHeight="false" outlineLevel="0" collapsed="false">
      <c r="A1542" s="11"/>
      <c r="B1542" s="6"/>
      <c r="C1542" s="11"/>
      <c r="D1542" s="11"/>
      <c r="E1542" s="8" t="str">
        <f aca="false">IF($A1542="","",SUMIFS($C:$C,$A:$A,$H1542,$B:$B,"&gt;="&amp;INT($B1542),$B:$B,"&lt;"&amp;(INT($B1542)+1)))</f>
        <v/>
      </c>
      <c r="F1542" s="19" t="str">
        <f aca="false">IF($A1542="","",IF(ISNA(MATCH($H1542,Buffers!$AE:$AE,0)),"Not on Buffers",IF(NOT(ISNUMBER($B1542)),"Needs a date",IF(INT($B1542)&lt;PlanDate,"Past due",IF(INT($B1542)=PlanDate,"Due today",IF(AND(INDEX(Buffers!$L:$L,MATCH($H1542,Buffers!$AE:$AE,0))="Planned",$E1542&gt;0,INT($B1542)&lt;=PlanDate+ROUNDUP(IF(ISNUMBER(SpikeHorizon),SpikeHorizon,INDEX(Buffers!$D:$D,MATCH($H1542,Buffers!$AE:$AE,0))),0),$E1542&gt;=SpikePct*INDEX(Buffers!$P:$P,MATCH($H1542,Buffers!$AE:$AE,0))),"Spike","Not qualified"))))))</f>
        <v/>
      </c>
      <c r="G1542" s="8" t="str">
        <f aca="false">IF($A1542="","",IF(OR($F1542="Past due",$F1542="Due today",$F1542="Spike"),$C1542,0))</f>
        <v/>
      </c>
      <c r="H1542" s="8" t="str">
        <f aca="false">IF($A1542="","",SUBSTITUTE(SUBSTITUTE(SUBSTITUTE($A1542&amp;"","~","~~"),"*","~*"),"?","~?"))</f>
        <v/>
      </c>
    </row>
    <row r="1543" customFormat="false" ht="15" hidden="false" customHeight="false" outlineLevel="0" collapsed="false">
      <c r="A1543" s="11"/>
      <c r="B1543" s="6"/>
      <c r="C1543" s="11"/>
      <c r="D1543" s="11"/>
      <c r="E1543" s="8" t="str">
        <f aca="false">IF($A1543="","",SUMIFS($C:$C,$A:$A,$H1543,$B:$B,"&gt;="&amp;INT($B1543),$B:$B,"&lt;"&amp;(INT($B1543)+1)))</f>
        <v/>
      </c>
      <c r="F1543" s="19" t="str">
        <f aca="false">IF($A1543="","",IF(ISNA(MATCH($H1543,Buffers!$AE:$AE,0)),"Not on Buffers",IF(NOT(ISNUMBER($B1543)),"Needs a date",IF(INT($B1543)&lt;PlanDate,"Past due",IF(INT($B1543)=PlanDate,"Due today",IF(AND(INDEX(Buffers!$L:$L,MATCH($H1543,Buffers!$AE:$AE,0))="Planned",$E1543&gt;0,INT($B1543)&lt;=PlanDate+ROUNDUP(IF(ISNUMBER(SpikeHorizon),SpikeHorizon,INDEX(Buffers!$D:$D,MATCH($H1543,Buffers!$AE:$AE,0))),0),$E1543&gt;=SpikePct*INDEX(Buffers!$P:$P,MATCH($H1543,Buffers!$AE:$AE,0))),"Spike","Not qualified"))))))</f>
        <v/>
      </c>
      <c r="G1543" s="8" t="str">
        <f aca="false">IF($A1543="","",IF(OR($F1543="Past due",$F1543="Due today",$F1543="Spike"),$C1543,0))</f>
        <v/>
      </c>
      <c r="H1543" s="8" t="str">
        <f aca="false">IF($A1543="","",SUBSTITUTE(SUBSTITUTE(SUBSTITUTE($A1543&amp;"","~","~~"),"*","~*"),"?","~?"))</f>
        <v/>
      </c>
    </row>
    <row r="1544" customFormat="false" ht="15" hidden="false" customHeight="false" outlineLevel="0" collapsed="false">
      <c r="A1544" s="11"/>
      <c r="B1544" s="6"/>
      <c r="C1544" s="11"/>
      <c r="D1544" s="11"/>
      <c r="E1544" s="8" t="str">
        <f aca="false">IF($A1544="","",SUMIFS($C:$C,$A:$A,$H1544,$B:$B,"&gt;="&amp;INT($B1544),$B:$B,"&lt;"&amp;(INT($B1544)+1)))</f>
        <v/>
      </c>
      <c r="F1544" s="19" t="str">
        <f aca="false">IF($A1544="","",IF(ISNA(MATCH($H1544,Buffers!$AE:$AE,0)),"Not on Buffers",IF(NOT(ISNUMBER($B1544)),"Needs a date",IF(INT($B1544)&lt;PlanDate,"Past due",IF(INT($B1544)=PlanDate,"Due today",IF(AND(INDEX(Buffers!$L:$L,MATCH($H1544,Buffers!$AE:$AE,0))="Planned",$E1544&gt;0,INT($B1544)&lt;=PlanDate+ROUNDUP(IF(ISNUMBER(SpikeHorizon),SpikeHorizon,INDEX(Buffers!$D:$D,MATCH($H1544,Buffers!$AE:$AE,0))),0),$E1544&gt;=SpikePct*INDEX(Buffers!$P:$P,MATCH($H1544,Buffers!$AE:$AE,0))),"Spike","Not qualified"))))))</f>
        <v/>
      </c>
      <c r="G1544" s="8" t="str">
        <f aca="false">IF($A1544="","",IF(OR($F1544="Past due",$F1544="Due today",$F1544="Spike"),$C1544,0))</f>
        <v/>
      </c>
      <c r="H1544" s="8" t="str">
        <f aca="false">IF($A1544="","",SUBSTITUTE(SUBSTITUTE(SUBSTITUTE($A1544&amp;"","~","~~"),"*","~*"),"?","~?"))</f>
        <v/>
      </c>
    </row>
    <row r="1545" customFormat="false" ht="15" hidden="false" customHeight="false" outlineLevel="0" collapsed="false">
      <c r="A1545" s="11"/>
      <c r="B1545" s="6"/>
      <c r="C1545" s="11"/>
      <c r="D1545" s="11"/>
      <c r="E1545" s="8" t="str">
        <f aca="false">IF($A1545="","",SUMIFS($C:$C,$A:$A,$H1545,$B:$B,"&gt;="&amp;INT($B1545),$B:$B,"&lt;"&amp;(INT($B1545)+1)))</f>
        <v/>
      </c>
      <c r="F1545" s="19" t="str">
        <f aca="false">IF($A1545="","",IF(ISNA(MATCH($H1545,Buffers!$AE:$AE,0)),"Not on Buffers",IF(NOT(ISNUMBER($B1545)),"Needs a date",IF(INT($B1545)&lt;PlanDate,"Past due",IF(INT($B1545)=PlanDate,"Due today",IF(AND(INDEX(Buffers!$L:$L,MATCH($H1545,Buffers!$AE:$AE,0))="Planned",$E1545&gt;0,INT($B1545)&lt;=PlanDate+ROUNDUP(IF(ISNUMBER(SpikeHorizon),SpikeHorizon,INDEX(Buffers!$D:$D,MATCH($H1545,Buffers!$AE:$AE,0))),0),$E1545&gt;=SpikePct*INDEX(Buffers!$P:$P,MATCH($H1545,Buffers!$AE:$AE,0))),"Spike","Not qualified"))))))</f>
        <v/>
      </c>
      <c r="G1545" s="8" t="str">
        <f aca="false">IF($A1545="","",IF(OR($F1545="Past due",$F1545="Due today",$F1545="Spike"),$C1545,0))</f>
        <v/>
      </c>
      <c r="H1545" s="8" t="str">
        <f aca="false">IF($A1545="","",SUBSTITUTE(SUBSTITUTE(SUBSTITUTE($A1545&amp;"","~","~~"),"*","~*"),"?","~?"))</f>
        <v/>
      </c>
    </row>
    <row r="1546" customFormat="false" ht="15" hidden="false" customHeight="false" outlineLevel="0" collapsed="false">
      <c r="A1546" s="11"/>
      <c r="B1546" s="6"/>
      <c r="C1546" s="11"/>
      <c r="D1546" s="11"/>
      <c r="E1546" s="8" t="str">
        <f aca="false">IF($A1546="","",SUMIFS($C:$C,$A:$A,$H1546,$B:$B,"&gt;="&amp;INT($B1546),$B:$B,"&lt;"&amp;(INT($B1546)+1)))</f>
        <v/>
      </c>
      <c r="F1546" s="19" t="str">
        <f aca="false">IF($A1546="","",IF(ISNA(MATCH($H1546,Buffers!$AE:$AE,0)),"Not on Buffers",IF(NOT(ISNUMBER($B1546)),"Needs a date",IF(INT($B1546)&lt;PlanDate,"Past due",IF(INT($B1546)=PlanDate,"Due today",IF(AND(INDEX(Buffers!$L:$L,MATCH($H1546,Buffers!$AE:$AE,0))="Planned",$E1546&gt;0,INT($B1546)&lt;=PlanDate+ROUNDUP(IF(ISNUMBER(SpikeHorizon),SpikeHorizon,INDEX(Buffers!$D:$D,MATCH($H1546,Buffers!$AE:$AE,0))),0),$E1546&gt;=SpikePct*INDEX(Buffers!$P:$P,MATCH($H1546,Buffers!$AE:$AE,0))),"Spike","Not qualified"))))))</f>
        <v/>
      </c>
      <c r="G1546" s="8" t="str">
        <f aca="false">IF($A1546="","",IF(OR($F1546="Past due",$F1546="Due today",$F1546="Spike"),$C1546,0))</f>
        <v/>
      </c>
      <c r="H1546" s="8" t="str">
        <f aca="false">IF($A1546="","",SUBSTITUTE(SUBSTITUTE(SUBSTITUTE($A1546&amp;"","~","~~"),"*","~*"),"?","~?"))</f>
        <v/>
      </c>
    </row>
    <row r="1547" customFormat="false" ht="15" hidden="false" customHeight="false" outlineLevel="0" collapsed="false">
      <c r="A1547" s="11"/>
      <c r="B1547" s="6"/>
      <c r="C1547" s="11"/>
      <c r="D1547" s="11"/>
      <c r="E1547" s="8" t="str">
        <f aca="false">IF($A1547="","",SUMIFS($C:$C,$A:$A,$H1547,$B:$B,"&gt;="&amp;INT($B1547),$B:$B,"&lt;"&amp;(INT($B1547)+1)))</f>
        <v/>
      </c>
      <c r="F1547" s="19" t="str">
        <f aca="false">IF($A1547="","",IF(ISNA(MATCH($H1547,Buffers!$AE:$AE,0)),"Not on Buffers",IF(NOT(ISNUMBER($B1547)),"Needs a date",IF(INT($B1547)&lt;PlanDate,"Past due",IF(INT($B1547)=PlanDate,"Due today",IF(AND(INDEX(Buffers!$L:$L,MATCH($H1547,Buffers!$AE:$AE,0))="Planned",$E1547&gt;0,INT($B1547)&lt;=PlanDate+ROUNDUP(IF(ISNUMBER(SpikeHorizon),SpikeHorizon,INDEX(Buffers!$D:$D,MATCH($H1547,Buffers!$AE:$AE,0))),0),$E1547&gt;=SpikePct*INDEX(Buffers!$P:$P,MATCH($H1547,Buffers!$AE:$AE,0))),"Spike","Not qualified"))))))</f>
        <v/>
      </c>
      <c r="G1547" s="8" t="str">
        <f aca="false">IF($A1547="","",IF(OR($F1547="Past due",$F1547="Due today",$F1547="Spike"),$C1547,0))</f>
        <v/>
      </c>
      <c r="H1547" s="8" t="str">
        <f aca="false">IF($A1547="","",SUBSTITUTE(SUBSTITUTE(SUBSTITUTE($A1547&amp;"","~","~~"),"*","~*"),"?","~?"))</f>
        <v/>
      </c>
    </row>
    <row r="1548" customFormat="false" ht="15" hidden="false" customHeight="false" outlineLevel="0" collapsed="false">
      <c r="A1548" s="11"/>
      <c r="B1548" s="6"/>
      <c r="C1548" s="11"/>
      <c r="D1548" s="11"/>
      <c r="E1548" s="8" t="str">
        <f aca="false">IF($A1548="","",SUMIFS($C:$C,$A:$A,$H1548,$B:$B,"&gt;="&amp;INT($B1548),$B:$B,"&lt;"&amp;(INT($B1548)+1)))</f>
        <v/>
      </c>
      <c r="F1548" s="19" t="str">
        <f aca="false">IF($A1548="","",IF(ISNA(MATCH($H1548,Buffers!$AE:$AE,0)),"Not on Buffers",IF(NOT(ISNUMBER($B1548)),"Needs a date",IF(INT($B1548)&lt;PlanDate,"Past due",IF(INT($B1548)=PlanDate,"Due today",IF(AND(INDEX(Buffers!$L:$L,MATCH($H1548,Buffers!$AE:$AE,0))="Planned",$E1548&gt;0,INT($B1548)&lt;=PlanDate+ROUNDUP(IF(ISNUMBER(SpikeHorizon),SpikeHorizon,INDEX(Buffers!$D:$D,MATCH($H1548,Buffers!$AE:$AE,0))),0),$E1548&gt;=SpikePct*INDEX(Buffers!$P:$P,MATCH($H1548,Buffers!$AE:$AE,0))),"Spike","Not qualified"))))))</f>
        <v/>
      </c>
      <c r="G1548" s="8" t="str">
        <f aca="false">IF($A1548="","",IF(OR($F1548="Past due",$F1548="Due today",$F1548="Spike"),$C1548,0))</f>
        <v/>
      </c>
      <c r="H1548" s="8" t="str">
        <f aca="false">IF($A1548="","",SUBSTITUTE(SUBSTITUTE(SUBSTITUTE($A1548&amp;"","~","~~"),"*","~*"),"?","~?"))</f>
        <v/>
      </c>
    </row>
    <row r="1549" customFormat="false" ht="15" hidden="false" customHeight="false" outlineLevel="0" collapsed="false">
      <c r="A1549" s="11"/>
      <c r="B1549" s="6"/>
      <c r="C1549" s="11"/>
      <c r="D1549" s="11"/>
      <c r="E1549" s="8" t="str">
        <f aca="false">IF($A1549="","",SUMIFS($C:$C,$A:$A,$H1549,$B:$B,"&gt;="&amp;INT($B1549),$B:$B,"&lt;"&amp;(INT($B1549)+1)))</f>
        <v/>
      </c>
      <c r="F1549" s="19" t="str">
        <f aca="false">IF($A1549="","",IF(ISNA(MATCH($H1549,Buffers!$AE:$AE,0)),"Not on Buffers",IF(NOT(ISNUMBER($B1549)),"Needs a date",IF(INT($B1549)&lt;PlanDate,"Past due",IF(INT($B1549)=PlanDate,"Due today",IF(AND(INDEX(Buffers!$L:$L,MATCH($H1549,Buffers!$AE:$AE,0))="Planned",$E1549&gt;0,INT($B1549)&lt;=PlanDate+ROUNDUP(IF(ISNUMBER(SpikeHorizon),SpikeHorizon,INDEX(Buffers!$D:$D,MATCH($H1549,Buffers!$AE:$AE,0))),0),$E1549&gt;=SpikePct*INDEX(Buffers!$P:$P,MATCH($H1549,Buffers!$AE:$AE,0))),"Spike","Not qualified"))))))</f>
        <v/>
      </c>
      <c r="G1549" s="8" t="str">
        <f aca="false">IF($A1549="","",IF(OR($F1549="Past due",$F1549="Due today",$F1549="Spike"),$C1549,0))</f>
        <v/>
      </c>
      <c r="H1549" s="8" t="str">
        <f aca="false">IF($A1549="","",SUBSTITUTE(SUBSTITUTE(SUBSTITUTE($A1549&amp;"","~","~~"),"*","~*"),"?","~?"))</f>
        <v/>
      </c>
    </row>
    <row r="1550" customFormat="false" ht="15" hidden="false" customHeight="false" outlineLevel="0" collapsed="false">
      <c r="A1550" s="11"/>
      <c r="B1550" s="6"/>
      <c r="C1550" s="11"/>
      <c r="D1550" s="11"/>
      <c r="E1550" s="8" t="str">
        <f aca="false">IF($A1550="","",SUMIFS($C:$C,$A:$A,$H1550,$B:$B,"&gt;="&amp;INT($B1550),$B:$B,"&lt;"&amp;(INT($B1550)+1)))</f>
        <v/>
      </c>
      <c r="F1550" s="19" t="str">
        <f aca="false">IF($A1550="","",IF(ISNA(MATCH($H1550,Buffers!$AE:$AE,0)),"Not on Buffers",IF(NOT(ISNUMBER($B1550)),"Needs a date",IF(INT($B1550)&lt;PlanDate,"Past due",IF(INT($B1550)=PlanDate,"Due today",IF(AND(INDEX(Buffers!$L:$L,MATCH($H1550,Buffers!$AE:$AE,0))="Planned",$E1550&gt;0,INT($B1550)&lt;=PlanDate+ROUNDUP(IF(ISNUMBER(SpikeHorizon),SpikeHorizon,INDEX(Buffers!$D:$D,MATCH($H1550,Buffers!$AE:$AE,0))),0),$E1550&gt;=SpikePct*INDEX(Buffers!$P:$P,MATCH($H1550,Buffers!$AE:$AE,0))),"Spike","Not qualified"))))))</f>
        <v/>
      </c>
      <c r="G1550" s="8" t="str">
        <f aca="false">IF($A1550="","",IF(OR($F1550="Past due",$F1550="Due today",$F1550="Spike"),$C1550,0))</f>
        <v/>
      </c>
      <c r="H1550" s="8" t="str">
        <f aca="false">IF($A1550="","",SUBSTITUTE(SUBSTITUTE(SUBSTITUTE($A1550&amp;"","~","~~"),"*","~*"),"?","~?"))</f>
        <v/>
      </c>
    </row>
    <row r="1551" customFormat="false" ht="15" hidden="false" customHeight="false" outlineLevel="0" collapsed="false">
      <c r="A1551" s="11"/>
      <c r="B1551" s="6"/>
      <c r="C1551" s="11"/>
      <c r="D1551" s="11"/>
      <c r="E1551" s="8" t="str">
        <f aca="false">IF($A1551="","",SUMIFS($C:$C,$A:$A,$H1551,$B:$B,"&gt;="&amp;INT($B1551),$B:$B,"&lt;"&amp;(INT($B1551)+1)))</f>
        <v/>
      </c>
      <c r="F1551" s="19" t="str">
        <f aca="false">IF($A1551="","",IF(ISNA(MATCH($H1551,Buffers!$AE:$AE,0)),"Not on Buffers",IF(NOT(ISNUMBER($B1551)),"Needs a date",IF(INT($B1551)&lt;PlanDate,"Past due",IF(INT($B1551)=PlanDate,"Due today",IF(AND(INDEX(Buffers!$L:$L,MATCH($H1551,Buffers!$AE:$AE,0))="Planned",$E1551&gt;0,INT($B1551)&lt;=PlanDate+ROUNDUP(IF(ISNUMBER(SpikeHorizon),SpikeHorizon,INDEX(Buffers!$D:$D,MATCH($H1551,Buffers!$AE:$AE,0))),0),$E1551&gt;=SpikePct*INDEX(Buffers!$P:$P,MATCH($H1551,Buffers!$AE:$AE,0))),"Spike","Not qualified"))))))</f>
        <v/>
      </c>
      <c r="G1551" s="8" t="str">
        <f aca="false">IF($A1551="","",IF(OR($F1551="Past due",$F1551="Due today",$F1551="Spike"),$C1551,0))</f>
        <v/>
      </c>
      <c r="H1551" s="8" t="str">
        <f aca="false">IF($A1551="","",SUBSTITUTE(SUBSTITUTE(SUBSTITUTE($A1551&amp;"","~","~~"),"*","~*"),"?","~?"))</f>
        <v/>
      </c>
    </row>
    <row r="1552" customFormat="false" ht="15" hidden="false" customHeight="false" outlineLevel="0" collapsed="false">
      <c r="A1552" s="11"/>
      <c r="B1552" s="6"/>
      <c r="C1552" s="11"/>
      <c r="D1552" s="11"/>
      <c r="E1552" s="8" t="str">
        <f aca="false">IF($A1552="","",SUMIFS($C:$C,$A:$A,$H1552,$B:$B,"&gt;="&amp;INT($B1552),$B:$B,"&lt;"&amp;(INT($B1552)+1)))</f>
        <v/>
      </c>
      <c r="F1552" s="19" t="str">
        <f aca="false">IF($A1552="","",IF(ISNA(MATCH($H1552,Buffers!$AE:$AE,0)),"Not on Buffers",IF(NOT(ISNUMBER($B1552)),"Needs a date",IF(INT($B1552)&lt;PlanDate,"Past due",IF(INT($B1552)=PlanDate,"Due today",IF(AND(INDEX(Buffers!$L:$L,MATCH($H1552,Buffers!$AE:$AE,0))="Planned",$E1552&gt;0,INT($B1552)&lt;=PlanDate+ROUNDUP(IF(ISNUMBER(SpikeHorizon),SpikeHorizon,INDEX(Buffers!$D:$D,MATCH($H1552,Buffers!$AE:$AE,0))),0),$E1552&gt;=SpikePct*INDEX(Buffers!$P:$P,MATCH($H1552,Buffers!$AE:$AE,0))),"Spike","Not qualified"))))))</f>
        <v/>
      </c>
      <c r="G1552" s="8" t="str">
        <f aca="false">IF($A1552="","",IF(OR($F1552="Past due",$F1552="Due today",$F1552="Spike"),$C1552,0))</f>
        <v/>
      </c>
      <c r="H1552" s="8" t="str">
        <f aca="false">IF($A1552="","",SUBSTITUTE(SUBSTITUTE(SUBSTITUTE($A1552&amp;"","~","~~"),"*","~*"),"?","~?"))</f>
        <v/>
      </c>
    </row>
    <row r="1553" customFormat="false" ht="15" hidden="false" customHeight="false" outlineLevel="0" collapsed="false">
      <c r="A1553" s="11"/>
      <c r="B1553" s="6"/>
      <c r="C1553" s="11"/>
      <c r="D1553" s="11"/>
      <c r="E1553" s="8" t="str">
        <f aca="false">IF($A1553="","",SUMIFS($C:$C,$A:$A,$H1553,$B:$B,"&gt;="&amp;INT($B1553),$B:$B,"&lt;"&amp;(INT($B1553)+1)))</f>
        <v/>
      </c>
      <c r="F1553" s="19" t="str">
        <f aca="false">IF($A1553="","",IF(ISNA(MATCH($H1553,Buffers!$AE:$AE,0)),"Not on Buffers",IF(NOT(ISNUMBER($B1553)),"Needs a date",IF(INT($B1553)&lt;PlanDate,"Past due",IF(INT($B1553)=PlanDate,"Due today",IF(AND(INDEX(Buffers!$L:$L,MATCH($H1553,Buffers!$AE:$AE,0))="Planned",$E1553&gt;0,INT($B1553)&lt;=PlanDate+ROUNDUP(IF(ISNUMBER(SpikeHorizon),SpikeHorizon,INDEX(Buffers!$D:$D,MATCH($H1553,Buffers!$AE:$AE,0))),0),$E1553&gt;=SpikePct*INDEX(Buffers!$P:$P,MATCH($H1553,Buffers!$AE:$AE,0))),"Spike","Not qualified"))))))</f>
        <v/>
      </c>
      <c r="G1553" s="8" t="str">
        <f aca="false">IF($A1553="","",IF(OR($F1553="Past due",$F1553="Due today",$F1553="Spike"),$C1553,0))</f>
        <v/>
      </c>
      <c r="H1553" s="8" t="str">
        <f aca="false">IF($A1553="","",SUBSTITUTE(SUBSTITUTE(SUBSTITUTE($A1553&amp;"","~","~~"),"*","~*"),"?","~?"))</f>
        <v/>
      </c>
    </row>
    <row r="1554" customFormat="false" ht="15" hidden="false" customHeight="false" outlineLevel="0" collapsed="false">
      <c r="A1554" s="11"/>
      <c r="B1554" s="6"/>
      <c r="C1554" s="11"/>
      <c r="D1554" s="11"/>
      <c r="E1554" s="8" t="str">
        <f aca="false">IF($A1554="","",SUMIFS($C:$C,$A:$A,$H1554,$B:$B,"&gt;="&amp;INT($B1554),$B:$B,"&lt;"&amp;(INT($B1554)+1)))</f>
        <v/>
      </c>
      <c r="F1554" s="19" t="str">
        <f aca="false">IF($A1554="","",IF(ISNA(MATCH($H1554,Buffers!$AE:$AE,0)),"Not on Buffers",IF(NOT(ISNUMBER($B1554)),"Needs a date",IF(INT($B1554)&lt;PlanDate,"Past due",IF(INT($B1554)=PlanDate,"Due today",IF(AND(INDEX(Buffers!$L:$L,MATCH($H1554,Buffers!$AE:$AE,0))="Planned",$E1554&gt;0,INT($B1554)&lt;=PlanDate+ROUNDUP(IF(ISNUMBER(SpikeHorizon),SpikeHorizon,INDEX(Buffers!$D:$D,MATCH($H1554,Buffers!$AE:$AE,0))),0),$E1554&gt;=SpikePct*INDEX(Buffers!$P:$P,MATCH($H1554,Buffers!$AE:$AE,0))),"Spike","Not qualified"))))))</f>
        <v/>
      </c>
      <c r="G1554" s="8" t="str">
        <f aca="false">IF($A1554="","",IF(OR($F1554="Past due",$F1554="Due today",$F1554="Spike"),$C1554,0))</f>
        <v/>
      </c>
      <c r="H1554" s="8" t="str">
        <f aca="false">IF($A1554="","",SUBSTITUTE(SUBSTITUTE(SUBSTITUTE($A1554&amp;"","~","~~"),"*","~*"),"?","~?"))</f>
        <v/>
      </c>
    </row>
    <row r="1555" customFormat="false" ht="15" hidden="false" customHeight="false" outlineLevel="0" collapsed="false">
      <c r="A1555" s="11"/>
      <c r="B1555" s="6"/>
      <c r="C1555" s="11"/>
      <c r="D1555" s="11"/>
      <c r="E1555" s="8" t="str">
        <f aca="false">IF($A1555="","",SUMIFS($C:$C,$A:$A,$H1555,$B:$B,"&gt;="&amp;INT($B1555),$B:$B,"&lt;"&amp;(INT($B1555)+1)))</f>
        <v/>
      </c>
      <c r="F1555" s="19" t="str">
        <f aca="false">IF($A1555="","",IF(ISNA(MATCH($H1555,Buffers!$AE:$AE,0)),"Not on Buffers",IF(NOT(ISNUMBER($B1555)),"Needs a date",IF(INT($B1555)&lt;PlanDate,"Past due",IF(INT($B1555)=PlanDate,"Due today",IF(AND(INDEX(Buffers!$L:$L,MATCH($H1555,Buffers!$AE:$AE,0))="Planned",$E1555&gt;0,INT($B1555)&lt;=PlanDate+ROUNDUP(IF(ISNUMBER(SpikeHorizon),SpikeHorizon,INDEX(Buffers!$D:$D,MATCH($H1555,Buffers!$AE:$AE,0))),0),$E1555&gt;=SpikePct*INDEX(Buffers!$P:$P,MATCH($H1555,Buffers!$AE:$AE,0))),"Spike","Not qualified"))))))</f>
        <v/>
      </c>
      <c r="G1555" s="8" t="str">
        <f aca="false">IF($A1555="","",IF(OR($F1555="Past due",$F1555="Due today",$F1555="Spike"),$C1555,0))</f>
        <v/>
      </c>
      <c r="H1555" s="8" t="str">
        <f aca="false">IF($A1555="","",SUBSTITUTE(SUBSTITUTE(SUBSTITUTE($A1555&amp;"","~","~~"),"*","~*"),"?","~?"))</f>
        <v/>
      </c>
    </row>
    <row r="1556" customFormat="false" ht="15" hidden="false" customHeight="false" outlineLevel="0" collapsed="false">
      <c r="A1556" s="11"/>
      <c r="B1556" s="6"/>
      <c r="C1556" s="11"/>
      <c r="D1556" s="11"/>
      <c r="E1556" s="8" t="str">
        <f aca="false">IF($A1556="","",SUMIFS($C:$C,$A:$A,$H1556,$B:$B,"&gt;="&amp;INT($B1556),$B:$B,"&lt;"&amp;(INT($B1556)+1)))</f>
        <v/>
      </c>
      <c r="F1556" s="19" t="str">
        <f aca="false">IF($A1556="","",IF(ISNA(MATCH($H1556,Buffers!$AE:$AE,0)),"Not on Buffers",IF(NOT(ISNUMBER($B1556)),"Needs a date",IF(INT($B1556)&lt;PlanDate,"Past due",IF(INT($B1556)=PlanDate,"Due today",IF(AND(INDEX(Buffers!$L:$L,MATCH($H1556,Buffers!$AE:$AE,0))="Planned",$E1556&gt;0,INT($B1556)&lt;=PlanDate+ROUNDUP(IF(ISNUMBER(SpikeHorizon),SpikeHorizon,INDEX(Buffers!$D:$D,MATCH($H1556,Buffers!$AE:$AE,0))),0),$E1556&gt;=SpikePct*INDEX(Buffers!$P:$P,MATCH($H1556,Buffers!$AE:$AE,0))),"Spike","Not qualified"))))))</f>
        <v/>
      </c>
      <c r="G1556" s="8" t="str">
        <f aca="false">IF($A1556="","",IF(OR($F1556="Past due",$F1556="Due today",$F1556="Spike"),$C1556,0))</f>
        <v/>
      </c>
      <c r="H1556" s="8" t="str">
        <f aca="false">IF($A1556="","",SUBSTITUTE(SUBSTITUTE(SUBSTITUTE($A1556&amp;"","~","~~"),"*","~*"),"?","~?"))</f>
        <v/>
      </c>
    </row>
    <row r="1557" customFormat="false" ht="15" hidden="false" customHeight="false" outlineLevel="0" collapsed="false">
      <c r="A1557" s="11"/>
      <c r="B1557" s="6"/>
      <c r="C1557" s="11"/>
      <c r="D1557" s="11"/>
      <c r="E1557" s="8" t="str">
        <f aca="false">IF($A1557="","",SUMIFS($C:$C,$A:$A,$H1557,$B:$B,"&gt;="&amp;INT($B1557),$B:$B,"&lt;"&amp;(INT($B1557)+1)))</f>
        <v/>
      </c>
      <c r="F1557" s="19" t="str">
        <f aca="false">IF($A1557="","",IF(ISNA(MATCH($H1557,Buffers!$AE:$AE,0)),"Not on Buffers",IF(NOT(ISNUMBER($B1557)),"Needs a date",IF(INT($B1557)&lt;PlanDate,"Past due",IF(INT($B1557)=PlanDate,"Due today",IF(AND(INDEX(Buffers!$L:$L,MATCH($H1557,Buffers!$AE:$AE,0))="Planned",$E1557&gt;0,INT($B1557)&lt;=PlanDate+ROUNDUP(IF(ISNUMBER(SpikeHorizon),SpikeHorizon,INDEX(Buffers!$D:$D,MATCH($H1557,Buffers!$AE:$AE,0))),0),$E1557&gt;=SpikePct*INDEX(Buffers!$P:$P,MATCH($H1557,Buffers!$AE:$AE,0))),"Spike","Not qualified"))))))</f>
        <v/>
      </c>
      <c r="G1557" s="8" t="str">
        <f aca="false">IF($A1557="","",IF(OR($F1557="Past due",$F1557="Due today",$F1557="Spike"),$C1557,0))</f>
        <v/>
      </c>
      <c r="H1557" s="8" t="str">
        <f aca="false">IF($A1557="","",SUBSTITUTE(SUBSTITUTE(SUBSTITUTE($A1557&amp;"","~","~~"),"*","~*"),"?","~?"))</f>
        <v/>
      </c>
    </row>
    <row r="1558" customFormat="false" ht="15" hidden="false" customHeight="false" outlineLevel="0" collapsed="false">
      <c r="A1558" s="11"/>
      <c r="B1558" s="6"/>
      <c r="C1558" s="11"/>
      <c r="D1558" s="11"/>
      <c r="E1558" s="8" t="str">
        <f aca="false">IF($A1558="","",SUMIFS($C:$C,$A:$A,$H1558,$B:$B,"&gt;="&amp;INT($B1558),$B:$B,"&lt;"&amp;(INT($B1558)+1)))</f>
        <v/>
      </c>
      <c r="F1558" s="19" t="str">
        <f aca="false">IF($A1558="","",IF(ISNA(MATCH($H1558,Buffers!$AE:$AE,0)),"Not on Buffers",IF(NOT(ISNUMBER($B1558)),"Needs a date",IF(INT($B1558)&lt;PlanDate,"Past due",IF(INT($B1558)=PlanDate,"Due today",IF(AND(INDEX(Buffers!$L:$L,MATCH($H1558,Buffers!$AE:$AE,0))="Planned",$E1558&gt;0,INT($B1558)&lt;=PlanDate+ROUNDUP(IF(ISNUMBER(SpikeHorizon),SpikeHorizon,INDEX(Buffers!$D:$D,MATCH($H1558,Buffers!$AE:$AE,0))),0),$E1558&gt;=SpikePct*INDEX(Buffers!$P:$P,MATCH($H1558,Buffers!$AE:$AE,0))),"Spike","Not qualified"))))))</f>
        <v/>
      </c>
      <c r="G1558" s="8" t="str">
        <f aca="false">IF($A1558="","",IF(OR($F1558="Past due",$F1558="Due today",$F1558="Spike"),$C1558,0))</f>
        <v/>
      </c>
      <c r="H1558" s="8" t="str">
        <f aca="false">IF($A1558="","",SUBSTITUTE(SUBSTITUTE(SUBSTITUTE($A1558&amp;"","~","~~"),"*","~*"),"?","~?"))</f>
        <v/>
      </c>
    </row>
    <row r="1559" customFormat="false" ht="15" hidden="false" customHeight="false" outlineLevel="0" collapsed="false">
      <c r="A1559" s="11"/>
      <c r="B1559" s="6"/>
      <c r="C1559" s="11"/>
      <c r="D1559" s="11"/>
      <c r="E1559" s="8" t="str">
        <f aca="false">IF($A1559="","",SUMIFS($C:$C,$A:$A,$H1559,$B:$B,"&gt;="&amp;INT($B1559),$B:$B,"&lt;"&amp;(INT($B1559)+1)))</f>
        <v/>
      </c>
      <c r="F1559" s="19" t="str">
        <f aca="false">IF($A1559="","",IF(ISNA(MATCH($H1559,Buffers!$AE:$AE,0)),"Not on Buffers",IF(NOT(ISNUMBER($B1559)),"Needs a date",IF(INT($B1559)&lt;PlanDate,"Past due",IF(INT($B1559)=PlanDate,"Due today",IF(AND(INDEX(Buffers!$L:$L,MATCH($H1559,Buffers!$AE:$AE,0))="Planned",$E1559&gt;0,INT($B1559)&lt;=PlanDate+ROUNDUP(IF(ISNUMBER(SpikeHorizon),SpikeHorizon,INDEX(Buffers!$D:$D,MATCH($H1559,Buffers!$AE:$AE,0))),0),$E1559&gt;=SpikePct*INDEX(Buffers!$P:$P,MATCH($H1559,Buffers!$AE:$AE,0))),"Spike","Not qualified"))))))</f>
        <v/>
      </c>
      <c r="G1559" s="8" t="str">
        <f aca="false">IF($A1559="","",IF(OR($F1559="Past due",$F1559="Due today",$F1559="Spike"),$C1559,0))</f>
        <v/>
      </c>
      <c r="H1559" s="8" t="str">
        <f aca="false">IF($A1559="","",SUBSTITUTE(SUBSTITUTE(SUBSTITUTE($A1559&amp;"","~","~~"),"*","~*"),"?","~?"))</f>
        <v/>
      </c>
    </row>
    <row r="1560" customFormat="false" ht="15" hidden="false" customHeight="false" outlineLevel="0" collapsed="false">
      <c r="A1560" s="11"/>
      <c r="B1560" s="6"/>
      <c r="C1560" s="11"/>
      <c r="D1560" s="11"/>
      <c r="E1560" s="8" t="str">
        <f aca="false">IF($A1560="","",SUMIFS($C:$C,$A:$A,$H1560,$B:$B,"&gt;="&amp;INT($B1560),$B:$B,"&lt;"&amp;(INT($B1560)+1)))</f>
        <v/>
      </c>
      <c r="F1560" s="19" t="str">
        <f aca="false">IF($A1560="","",IF(ISNA(MATCH($H1560,Buffers!$AE:$AE,0)),"Not on Buffers",IF(NOT(ISNUMBER($B1560)),"Needs a date",IF(INT($B1560)&lt;PlanDate,"Past due",IF(INT($B1560)=PlanDate,"Due today",IF(AND(INDEX(Buffers!$L:$L,MATCH($H1560,Buffers!$AE:$AE,0))="Planned",$E1560&gt;0,INT($B1560)&lt;=PlanDate+ROUNDUP(IF(ISNUMBER(SpikeHorizon),SpikeHorizon,INDEX(Buffers!$D:$D,MATCH($H1560,Buffers!$AE:$AE,0))),0),$E1560&gt;=SpikePct*INDEX(Buffers!$P:$P,MATCH($H1560,Buffers!$AE:$AE,0))),"Spike","Not qualified"))))))</f>
        <v/>
      </c>
      <c r="G1560" s="8" t="str">
        <f aca="false">IF($A1560="","",IF(OR($F1560="Past due",$F1560="Due today",$F1560="Spike"),$C1560,0))</f>
        <v/>
      </c>
      <c r="H1560" s="8" t="str">
        <f aca="false">IF($A1560="","",SUBSTITUTE(SUBSTITUTE(SUBSTITUTE($A1560&amp;"","~","~~"),"*","~*"),"?","~?"))</f>
        <v/>
      </c>
    </row>
    <row r="1561" customFormat="false" ht="15" hidden="false" customHeight="false" outlineLevel="0" collapsed="false">
      <c r="A1561" s="11"/>
      <c r="B1561" s="6"/>
      <c r="C1561" s="11"/>
      <c r="D1561" s="11"/>
      <c r="E1561" s="8" t="str">
        <f aca="false">IF($A1561="","",SUMIFS($C:$C,$A:$A,$H1561,$B:$B,"&gt;="&amp;INT($B1561),$B:$B,"&lt;"&amp;(INT($B1561)+1)))</f>
        <v/>
      </c>
      <c r="F1561" s="19" t="str">
        <f aca="false">IF($A1561="","",IF(ISNA(MATCH($H1561,Buffers!$AE:$AE,0)),"Not on Buffers",IF(NOT(ISNUMBER($B1561)),"Needs a date",IF(INT($B1561)&lt;PlanDate,"Past due",IF(INT($B1561)=PlanDate,"Due today",IF(AND(INDEX(Buffers!$L:$L,MATCH($H1561,Buffers!$AE:$AE,0))="Planned",$E1561&gt;0,INT($B1561)&lt;=PlanDate+ROUNDUP(IF(ISNUMBER(SpikeHorizon),SpikeHorizon,INDEX(Buffers!$D:$D,MATCH($H1561,Buffers!$AE:$AE,0))),0),$E1561&gt;=SpikePct*INDEX(Buffers!$P:$P,MATCH($H1561,Buffers!$AE:$AE,0))),"Spike","Not qualified"))))))</f>
        <v/>
      </c>
      <c r="G1561" s="8" t="str">
        <f aca="false">IF($A1561="","",IF(OR($F1561="Past due",$F1561="Due today",$F1561="Spike"),$C1561,0))</f>
        <v/>
      </c>
      <c r="H1561" s="8" t="str">
        <f aca="false">IF($A1561="","",SUBSTITUTE(SUBSTITUTE(SUBSTITUTE($A1561&amp;"","~","~~"),"*","~*"),"?","~?"))</f>
        <v/>
      </c>
    </row>
    <row r="1562" customFormat="false" ht="15" hidden="false" customHeight="false" outlineLevel="0" collapsed="false">
      <c r="A1562" s="11"/>
      <c r="B1562" s="6"/>
      <c r="C1562" s="11"/>
      <c r="D1562" s="11"/>
      <c r="E1562" s="8" t="str">
        <f aca="false">IF($A1562="","",SUMIFS($C:$C,$A:$A,$H1562,$B:$B,"&gt;="&amp;INT($B1562),$B:$B,"&lt;"&amp;(INT($B1562)+1)))</f>
        <v/>
      </c>
      <c r="F1562" s="19" t="str">
        <f aca="false">IF($A1562="","",IF(ISNA(MATCH($H1562,Buffers!$AE:$AE,0)),"Not on Buffers",IF(NOT(ISNUMBER($B1562)),"Needs a date",IF(INT($B1562)&lt;PlanDate,"Past due",IF(INT($B1562)=PlanDate,"Due today",IF(AND(INDEX(Buffers!$L:$L,MATCH($H1562,Buffers!$AE:$AE,0))="Planned",$E1562&gt;0,INT($B1562)&lt;=PlanDate+ROUNDUP(IF(ISNUMBER(SpikeHorizon),SpikeHorizon,INDEX(Buffers!$D:$D,MATCH($H1562,Buffers!$AE:$AE,0))),0),$E1562&gt;=SpikePct*INDEX(Buffers!$P:$P,MATCH($H1562,Buffers!$AE:$AE,0))),"Spike","Not qualified"))))))</f>
        <v/>
      </c>
      <c r="G1562" s="8" t="str">
        <f aca="false">IF($A1562="","",IF(OR($F1562="Past due",$F1562="Due today",$F1562="Spike"),$C1562,0))</f>
        <v/>
      </c>
      <c r="H1562" s="8" t="str">
        <f aca="false">IF($A1562="","",SUBSTITUTE(SUBSTITUTE(SUBSTITUTE($A1562&amp;"","~","~~"),"*","~*"),"?","~?"))</f>
        <v/>
      </c>
    </row>
    <row r="1563" customFormat="false" ht="15" hidden="false" customHeight="false" outlineLevel="0" collapsed="false">
      <c r="A1563" s="11"/>
      <c r="B1563" s="6"/>
      <c r="C1563" s="11"/>
      <c r="D1563" s="11"/>
      <c r="E1563" s="8" t="str">
        <f aca="false">IF($A1563="","",SUMIFS($C:$C,$A:$A,$H1563,$B:$B,"&gt;="&amp;INT($B1563),$B:$B,"&lt;"&amp;(INT($B1563)+1)))</f>
        <v/>
      </c>
      <c r="F1563" s="19" t="str">
        <f aca="false">IF($A1563="","",IF(ISNA(MATCH($H1563,Buffers!$AE:$AE,0)),"Not on Buffers",IF(NOT(ISNUMBER($B1563)),"Needs a date",IF(INT($B1563)&lt;PlanDate,"Past due",IF(INT($B1563)=PlanDate,"Due today",IF(AND(INDEX(Buffers!$L:$L,MATCH($H1563,Buffers!$AE:$AE,0))="Planned",$E1563&gt;0,INT($B1563)&lt;=PlanDate+ROUNDUP(IF(ISNUMBER(SpikeHorizon),SpikeHorizon,INDEX(Buffers!$D:$D,MATCH($H1563,Buffers!$AE:$AE,0))),0),$E1563&gt;=SpikePct*INDEX(Buffers!$P:$P,MATCH($H1563,Buffers!$AE:$AE,0))),"Spike","Not qualified"))))))</f>
        <v/>
      </c>
      <c r="G1563" s="8" t="str">
        <f aca="false">IF($A1563="","",IF(OR($F1563="Past due",$F1563="Due today",$F1563="Spike"),$C1563,0))</f>
        <v/>
      </c>
      <c r="H1563" s="8" t="str">
        <f aca="false">IF($A1563="","",SUBSTITUTE(SUBSTITUTE(SUBSTITUTE($A1563&amp;"","~","~~"),"*","~*"),"?","~?"))</f>
        <v/>
      </c>
    </row>
    <row r="1564" customFormat="false" ht="15" hidden="false" customHeight="false" outlineLevel="0" collapsed="false">
      <c r="A1564" s="11"/>
      <c r="B1564" s="6"/>
      <c r="C1564" s="11"/>
      <c r="D1564" s="11"/>
      <c r="E1564" s="8" t="str">
        <f aca="false">IF($A1564="","",SUMIFS($C:$C,$A:$A,$H1564,$B:$B,"&gt;="&amp;INT($B1564),$B:$B,"&lt;"&amp;(INT($B1564)+1)))</f>
        <v/>
      </c>
      <c r="F1564" s="19" t="str">
        <f aca="false">IF($A1564="","",IF(ISNA(MATCH($H1564,Buffers!$AE:$AE,0)),"Not on Buffers",IF(NOT(ISNUMBER($B1564)),"Needs a date",IF(INT($B1564)&lt;PlanDate,"Past due",IF(INT($B1564)=PlanDate,"Due today",IF(AND(INDEX(Buffers!$L:$L,MATCH($H1564,Buffers!$AE:$AE,0))="Planned",$E1564&gt;0,INT($B1564)&lt;=PlanDate+ROUNDUP(IF(ISNUMBER(SpikeHorizon),SpikeHorizon,INDEX(Buffers!$D:$D,MATCH($H1564,Buffers!$AE:$AE,0))),0),$E1564&gt;=SpikePct*INDEX(Buffers!$P:$P,MATCH($H1564,Buffers!$AE:$AE,0))),"Spike","Not qualified"))))))</f>
        <v/>
      </c>
      <c r="G1564" s="8" t="str">
        <f aca="false">IF($A1564="","",IF(OR($F1564="Past due",$F1564="Due today",$F1564="Spike"),$C1564,0))</f>
        <v/>
      </c>
      <c r="H1564" s="8" t="str">
        <f aca="false">IF($A1564="","",SUBSTITUTE(SUBSTITUTE(SUBSTITUTE($A1564&amp;"","~","~~"),"*","~*"),"?","~?"))</f>
        <v/>
      </c>
    </row>
    <row r="1565" customFormat="false" ht="15" hidden="false" customHeight="false" outlineLevel="0" collapsed="false">
      <c r="A1565" s="11"/>
      <c r="B1565" s="6"/>
      <c r="C1565" s="11"/>
      <c r="D1565" s="11"/>
      <c r="E1565" s="8" t="str">
        <f aca="false">IF($A1565="","",SUMIFS($C:$C,$A:$A,$H1565,$B:$B,"&gt;="&amp;INT($B1565),$B:$B,"&lt;"&amp;(INT($B1565)+1)))</f>
        <v/>
      </c>
      <c r="F1565" s="19" t="str">
        <f aca="false">IF($A1565="","",IF(ISNA(MATCH($H1565,Buffers!$AE:$AE,0)),"Not on Buffers",IF(NOT(ISNUMBER($B1565)),"Needs a date",IF(INT($B1565)&lt;PlanDate,"Past due",IF(INT($B1565)=PlanDate,"Due today",IF(AND(INDEX(Buffers!$L:$L,MATCH($H1565,Buffers!$AE:$AE,0))="Planned",$E1565&gt;0,INT($B1565)&lt;=PlanDate+ROUNDUP(IF(ISNUMBER(SpikeHorizon),SpikeHorizon,INDEX(Buffers!$D:$D,MATCH($H1565,Buffers!$AE:$AE,0))),0),$E1565&gt;=SpikePct*INDEX(Buffers!$P:$P,MATCH($H1565,Buffers!$AE:$AE,0))),"Spike","Not qualified"))))))</f>
        <v/>
      </c>
      <c r="G1565" s="8" t="str">
        <f aca="false">IF($A1565="","",IF(OR($F1565="Past due",$F1565="Due today",$F1565="Spike"),$C1565,0))</f>
        <v/>
      </c>
      <c r="H1565" s="8" t="str">
        <f aca="false">IF($A1565="","",SUBSTITUTE(SUBSTITUTE(SUBSTITUTE($A1565&amp;"","~","~~"),"*","~*"),"?","~?"))</f>
        <v/>
      </c>
    </row>
    <row r="1566" customFormat="false" ht="15" hidden="false" customHeight="false" outlineLevel="0" collapsed="false">
      <c r="A1566" s="11"/>
      <c r="B1566" s="6"/>
      <c r="C1566" s="11"/>
      <c r="D1566" s="11"/>
      <c r="E1566" s="8" t="str">
        <f aca="false">IF($A1566="","",SUMIFS($C:$C,$A:$A,$H1566,$B:$B,"&gt;="&amp;INT($B1566),$B:$B,"&lt;"&amp;(INT($B1566)+1)))</f>
        <v/>
      </c>
      <c r="F1566" s="19" t="str">
        <f aca="false">IF($A1566="","",IF(ISNA(MATCH($H1566,Buffers!$AE:$AE,0)),"Not on Buffers",IF(NOT(ISNUMBER($B1566)),"Needs a date",IF(INT($B1566)&lt;PlanDate,"Past due",IF(INT($B1566)=PlanDate,"Due today",IF(AND(INDEX(Buffers!$L:$L,MATCH($H1566,Buffers!$AE:$AE,0))="Planned",$E1566&gt;0,INT($B1566)&lt;=PlanDate+ROUNDUP(IF(ISNUMBER(SpikeHorizon),SpikeHorizon,INDEX(Buffers!$D:$D,MATCH($H1566,Buffers!$AE:$AE,0))),0),$E1566&gt;=SpikePct*INDEX(Buffers!$P:$P,MATCH($H1566,Buffers!$AE:$AE,0))),"Spike","Not qualified"))))))</f>
        <v/>
      </c>
      <c r="G1566" s="8" t="str">
        <f aca="false">IF($A1566="","",IF(OR($F1566="Past due",$F1566="Due today",$F1566="Spike"),$C1566,0))</f>
        <v/>
      </c>
      <c r="H1566" s="8" t="str">
        <f aca="false">IF($A1566="","",SUBSTITUTE(SUBSTITUTE(SUBSTITUTE($A1566&amp;"","~","~~"),"*","~*"),"?","~?"))</f>
        <v/>
      </c>
    </row>
    <row r="1567" customFormat="false" ht="15" hidden="false" customHeight="false" outlineLevel="0" collapsed="false">
      <c r="A1567" s="11"/>
      <c r="B1567" s="6"/>
      <c r="C1567" s="11"/>
      <c r="D1567" s="11"/>
      <c r="E1567" s="8" t="str">
        <f aca="false">IF($A1567="","",SUMIFS($C:$C,$A:$A,$H1567,$B:$B,"&gt;="&amp;INT($B1567),$B:$B,"&lt;"&amp;(INT($B1567)+1)))</f>
        <v/>
      </c>
      <c r="F1567" s="19" t="str">
        <f aca="false">IF($A1567="","",IF(ISNA(MATCH($H1567,Buffers!$AE:$AE,0)),"Not on Buffers",IF(NOT(ISNUMBER($B1567)),"Needs a date",IF(INT($B1567)&lt;PlanDate,"Past due",IF(INT($B1567)=PlanDate,"Due today",IF(AND(INDEX(Buffers!$L:$L,MATCH($H1567,Buffers!$AE:$AE,0))="Planned",$E1567&gt;0,INT($B1567)&lt;=PlanDate+ROUNDUP(IF(ISNUMBER(SpikeHorizon),SpikeHorizon,INDEX(Buffers!$D:$D,MATCH($H1567,Buffers!$AE:$AE,0))),0),$E1567&gt;=SpikePct*INDEX(Buffers!$P:$P,MATCH($H1567,Buffers!$AE:$AE,0))),"Spike","Not qualified"))))))</f>
        <v/>
      </c>
      <c r="G1567" s="8" t="str">
        <f aca="false">IF($A1567="","",IF(OR($F1567="Past due",$F1567="Due today",$F1567="Spike"),$C1567,0))</f>
        <v/>
      </c>
      <c r="H1567" s="8" t="str">
        <f aca="false">IF($A1567="","",SUBSTITUTE(SUBSTITUTE(SUBSTITUTE($A1567&amp;"","~","~~"),"*","~*"),"?","~?"))</f>
        <v/>
      </c>
    </row>
    <row r="1568" customFormat="false" ht="15" hidden="false" customHeight="false" outlineLevel="0" collapsed="false">
      <c r="A1568" s="11"/>
      <c r="B1568" s="6"/>
      <c r="C1568" s="11"/>
      <c r="D1568" s="11"/>
      <c r="E1568" s="8" t="str">
        <f aca="false">IF($A1568="","",SUMIFS($C:$C,$A:$A,$H1568,$B:$B,"&gt;="&amp;INT($B1568),$B:$B,"&lt;"&amp;(INT($B1568)+1)))</f>
        <v/>
      </c>
      <c r="F1568" s="19" t="str">
        <f aca="false">IF($A1568="","",IF(ISNA(MATCH($H1568,Buffers!$AE:$AE,0)),"Not on Buffers",IF(NOT(ISNUMBER($B1568)),"Needs a date",IF(INT($B1568)&lt;PlanDate,"Past due",IF(INT($B1568)=PlanDate,"Due today",IF(AND(INDEX(Buffers!$L:$L,MATCH($H1568,Buffers!$AE:$AE,0))="Planned",$E1568&gt;0,INT($B1568)&lt;=PlanDate+ROUNDUP(IF(ISNUMBER(SpikeHorizon),SpikeHorizon,INDEX(Buffers!$D:$D,MATCH($H1568,Buffers!$AE:$AE,0))),0),$E1568&gt;=SpikePct*INDEX(Buffers!$P:$P,MATCH($H1568,Buffers!$AE:$AE,0))),"Spike","Not qualified"))))))</f>
        <v/>
      </c>
      <c r="G1568" s="8" t="str">
        <f aca="false">IF($A1568="","",IF(OR($F1568="Past due",$F1568="Due today",$F1568="Spike"),$C1568,0))</f>
        <v/>
      </c>
      <c r="H1568" s="8" t="str">
        <f aca="false">IF($A1568="","",SUBSTITUTE(SUBSTITUTE(SUBSTITUTE($A1568&amp;"","~","~~"),"*","~*"),"?","~?"))</f>
        <v/>
      </c>
    </row>
    <row r="1569" customFormat="false" ht="15" hidden="false" customHeight="false" outlineLevel="0" collapsed="false">
      <c r="A1569" s="11"/>
      <c r="B1569" s="6"/>
      <c r="C1569" s="11"/>
      <c r="D1569" s="11"/>
      <c r="E1569" s="8" t="str">
        <f aca="false">IF($A1569="","",SUMIFS($C:$C,$A:$A,$H1569,$B:$B,"&gt;="&amp;INT($B1569),$B:$B,"&lt;"&amp;(INT($B1569)+1)))</f>
        <v/>
      </c>
      <c r="F1569" s="19" t="str">
        <f aca="false">IF($A1569="","",IF(ISNA(MATCH($H1569,Buffers!$AE:$AE,0)),"Not on Buffers",IF(NOT(ISNUMBER($B1569)),"Needs a date",IF(INT($B1569)&lt;PlanDate,"Past due",IF(INT($B1569)=PlanDate,"Due today",IF(AND(INDEX(Buffers!$L:$L,MATCH($H1569,Buffers!$AE:$AE,0))="Planned",$E1569&gt;0,INT($B1569)&lt;=PlanDate+ROUNDUP(IF(ISNUMBER(SpikeHorizon),SpikeHorizon,INDEX(Buffers!$D:$D,MATCH($H1569,Buffers!$AE:$AE,0))),0),$E1569&gt;=SpikePct*INDEX(Buffers!$P:$P,MATCH($H1569,Buffers!$AE:$AE,0))),"Spike","Not qualified"))))))</f>
        <v/>
      </c>
      <c r="G1569" s="8" t="str">
        <f aca="false">IF($A1569="","",IF(OR($F1569="Past due",$F1569="Due today",$F1569="Spike"),$C1569,0))</f>
        <v/>
      </c>
      <c r="H1569" s="8" t="str">
        <f aca="false">IF($A1569="","",SUBSTITUTE(SUBSTITUTE(SUBSTITUTE($A1569&amp;"","~","~~"),"*","~*"),"?","~?"))</f>
        <v/>
      </c>
    </row>
    <row r="1570" customFormat="false" ht="15" hidden="false" customHeight="false" outlineLevel="0" collapsed="false">
      <c r="A1570" s="11"/>
      <c r="B1570" s="6"/>
      <c r="C1570" s="11"/>
      <c r="D1570" s="11"/>
      <c r="E1570" s="8" t="str">
        <f aca="false">IF($A1570="","",SUMIFS($C:$C,$A:$A,$H1570,$B:$B,"&gt;="&amp;INT($B1570),$B:$B,"&lt;"&amp;(INT($B1570)+1)))</f>
        <v/>
      </c>
      <c r="F1570" s="19" t="str">
        <f aca="false">IF($A1570="","",IF(ISNA(MATCH($H1570,Buffers!$AE:$AE,0)),"Not on Buffers",IF(NOT(ISNUMBER($B1570)),"Needs a date",IF(INT($B1570)&lt;PlanDate,"Past due",IF(INT($B1570)=PlanDate,"Due today",IF(AND(INDEX(Buffers!$L:$L,MATCH($H1570,Buffers!$AE:$AE,0))="Planned",$E1570&gt;0,INT($B1570)&lt;=PlanDate+ROUNDUP(IF(ISNUMBER(SpikeHorizon),SpikeHorizon,INDEX(Buffers!$D:$D,MATCH($H1570,Buffers!$AE:$AE,0))),0),$E1570&gt;=SpikePct*INDEX(Buffers!$P:$P,MATCH($H1570,Buffers!$AE:$AE,0))),"Spike","Not qualified"))))))</f>
        <v/>
      </c>
      <c r="G1570" s="8" t="str">
        <f aca="false">IF($A1570="","",IF(OR($F1570="Past due",$F1570="Due today",$F1570="Spike"),$C1570,0))</f>
        <v/>
      </c>
      <c r="H1570" s="8" t="str">
        <f aca="false">IF($A1570="","",SUBSTITUTE(SUBSTITUTE(SUBSTITUTE($A1570&amp;"","~","~~"),"*","~*"),"?","~?"))</f>
        <v/>
      </c>
    </row>
    <row r="1571" customFormat="false" ht="15" hidden="false" customHeight="false" outlineLevel="0" collapsed="false">
      <c r="A1571" s="11"/>
      <c r="B1571" s="6"/>
      <c r="C1571" s="11"/>
      <c r="D1571" s="11"/>
      <c r="E1571" s="8" t="str">
        <f aca="false">IF($A1571="","",SUMIFS($C:$C,$A:$A,$H1571,$B:$B,"&gt;="&amp;INT($B1571),$B:$B,"&lt;"&amp;(INT($B1571)+1)))</f>
        <v/>
      </c>
      <c r="F1571" s="19" t="str">
        <f aca="false">IF($A1571="","",IF(ISNA(MATCH($H1571,Buffers!$AE:$AE,0)),"Not on Buffers",IF(NOT(ISNUMBER($B1571)),"Needs a date",IF(INT($B1571)&lt;PlanDate,"Past due",IF(INT($B1571)=PlanDate,"Due today",IF(AND(INDEX(Buffers!$L:$L,MATCH($H1571,Buffers!$AE:$AE,0))="Planned",$E1571&gt;0,INT($B1571)&lt;=PlanDate+ROUNDUP(IF(ISNUMBER(SpikeHorizon),SpikeHorizon,INDEX(Buffers!$D:$D,MATCH($H1571,Buffers!$AE:$AE,0))),0),$E1571&gt;=SpikePct*INDEX(Buffers!$P:$P,MATCH($H1571,Buffers!$AE:$AE,0))),"Spike","Not qualified"))))))</f>
        <v/>
      </c>
      <c r="G1571" s="8" t="str">
        <f aca="false">IF($A1571="","",IF(OR($F1571="Past due",$F1571="Due today",$F1571="Spike"),$C1571,0))</f>
        <v/>
      </c>
      <c r="H1571" s="8" t="str">
        <f aca="false">IF($A1571="","",SUBSTITUTE(SUBSTITUTE(SUBSTITUTE($A1571&amp;"","~","~~"),"*","~*"),"?","~?"))</f>
        <v/>
      </c>
    </row>
    <row r="1572" customFormat="false" ht="15" hidden="false" customHeight="false" outlineLevel="0" collapsed="false">
      <c r="A1572" s="11"/>
      <c r="B1572" s="6"/>
      <c r="C1572" s="11"/>
      <c r="D1572" s="11"/>
      <c r="E1572" s="8" t="str">
        <f aca="false">IF($A1572="","",SUMIFS($C:$C,$A:$A,$H1572,$B:$B,"&gt;="&amp;INT($B1572),$B:$B,"&lt;"&amp;(INT($B1572)+1)))</f>
        <v/>
      </c>
      <c r="F1572" s="19" t="str">
        <f aca="false">IF($A1572="","",IF(ISNA(MATCH($H1572,Buffers!$AE:$AE,0)),"Not on Buffers",IF(NOT(ISNUMBER($B1572)),"Needs a date",IF(INT($B1572)&lt;PlanDate,"Past due",IF(INT($B1572)=PlanDate,"Due today",IF(AND(INDEX(Buffers!$L:$L,MATCH($H1572,Buffers!$AE:$AE,0))="Planned",$E1572&gt;0,INT($B1572)&lt;=PlanDate+ROUNDUP(IF(ISNUMBER(SpikeHorizon),SpikeHorizon,INDEX(Buffers!$D:$D,MATCH($H1572,Buffers!$AE:$AE,0))),0),$E1572&gt;=SpikePct*INDEX(Buffers!$P:$P,MATCH($H1572,Buffers!$AE:$AE,0))),"Spike","Not qualified"))))))</f>
        <v/>
      </c>
      <c r="G1572" s="8" t="str">
        <f aca="false">IF($A1572="","",IF(OR($F1572="Past due",$F1572="Due today",$F1572="Spike"),$C1572,0))</f>
        <v/>
      </c>
      <c r="H1572" s="8" t="str">
        <f aca="false">IF($A1572="","",SUBSTITUTE(SUBSTITUTE(SUBSTITUTE($A1572&amp;"","~","~~"),"*","~*"),"?","~?"))</f>
        <v/>
      </c>
    </row>
    <row r="1573" customFormat="false" ht="15" hidden="false" customHeight="false" outlineLevel="0" collapsed="false">
      <c r="A1573" s="11"/>
      <c r="B1573" s="6"/>
      <c r="C1573" s="11"/>
      <c r="D1573" s="11"/>
      <c r="E1573" s="8" t="str">
        <f aca="false">IF($A1573="","",SUMIFS($C:$C,$A:$A,$H1573,$B:$B,"&gt;="&amp;INT($B1573),$B:$B,"&lt;"&amp;(INT($B1573)+1)))</f>
        <v/>
      </c>
      <c r="F1573" s="19" t="str">
        <f aca="false">IF($A1573="","",IF(ISNA(MATCH($H1573,Buffers!$AE:$AE,0)),"Not on Buffers",IF(NOT(ISNUMBER($B1573)),"Needs a date",IF(INT($B1573)&lt;PlanDate,"Past due",IF(INT($B1573)=PlanDate,"Due today",IF(AND(INDEX(Buffers!$L:$L,MATCH($H1573,Buffers!$AE:$AE,0))="Planned",$E1573&gt;0,INT($B1573)&lt;=PlanDate+ROUNDUP(IF(ISNUMBER(SpikeHorizon),SpikeHorizon,INDEX(Buffers!$D:$D,MATCH($H1573,Buffers!$AE:$AE,0))),0),$E1573&gt;=SpikePct*INDEX(Buffers!$P:$P,MATCH($H1573,Buffers!$AE:$AE,0))),"Spike","Not qualified"))))))</f>
        <v/>
      </c>
      <c r="G1573" s="8" t="str">
        <f aca="false">IF($A1573="","",IF(OR($F1573="Past due",$F1573="Due today",$F1573="Spike"),$C1573,0))</f>
        <v/>
      </c>
      <c r="H1573" s="8" t="str">
        <f aca="false">IF($A1573="","",SUBSTITUTE(SUBSTITUTE(SUBSTITUTE($A1573&amp;"","~","~~"),"*","~*"),"?","~?"))</f>
        <v/>
      </c>
    </row>
    <row r="1574" customFormat="false" ht="15" hidden="false" customHeight="false" outlineLevel="0" collapsed="false">
      <c r="A1574" s="11"/>
      <c r="B1574" s="6"/>
      <c r="C1574" s="11"/>
      <c r="D1574" s="11"/>
      <c r="E1574" s="8" t="str">
        <f aca="false">IF($A1574="","",SUMIFS($C:$C,$A:$A,$H1574,$B:$B,"&gt;="&amp;INT($B1574),$B:$B,"&lt;"&amp;(INT($B1574)+1)))</f>
        <v/>
      </c>
      <c r="F1574" s="19" t="str">
        <f aca="false">IF($A1574="","",IF(ISNA(MATCH($H1574,Buffers!$AE:$AE,0)),"Not on Buffers",IF(NOT(ISNUMBER($B1574)),"Needs a date",IF(INT($B1574)&lt;PlanDate,"Past due",IF(INT($B1574)=PlanDate,"Due today",IF(AND(INDEX(Buffers!$L:$L,MATCH($H1574,Buffers!$AE:$AE,0))="Planned",$E1574&gt;0,INT($B1574)&lt;=PlanDate+ROUNDUP(IF(ISNUMBER(SpikeHorizon),SpikeHorizon,INDEX(Buffers!$D:$D,MATCH($H1574,Buffers!$AE:$AE,0))),0),$E1574&gt;=SpikePct*INDEX(Buffers!$P:$P,MATCH($H1574,Buffers!$AE:$AE,0))),"Spike","Not qualified"))))))</f>
        <v/>
      </c>
      <c r="G1574" s="8" t="str">
        <f aca="false">IF($A1574="","",IF(OR($F1574="Past due",$F1574="Due today",$F1574="Spike"),$C1574,0))</f>
        <v/>
      </c>
      <c r="H1574" s="8" t="str">
        <f aca="false">IF($A1574="","",SUBSTITUTE(SUBSTITUTE(SUBSTITUTE($A1574&amp;"","~","~~"),"*","~*"),"?","~?"))</f>
        <v/>
      </c>
    </row>
    <row r="1575" customFormat="false" ht="15" hidden="false" customHeight="false" outlineLevel="0" collapsed="false">
      <c r="A1575" s="11"/>
      <c r="B1575" s="6"/>
      <c r="C1575" s="11"/>
      <c r="D1575" s="11"/>
      <c r="E1575" s="8" t="str">
        <f aca="false">IF($A1575="","",SUMIFS($C:$C,$A:$A,$H1575,$B:$B,"&gt;="&amp;INT($B1575),$B:$B,"&lt;"&amp;(INT($B1575)+1)))</f>
        <v/>
      </c>
      <c r="F1575" s="19" t="str">
        <f aca="false">IF($A1575="","",IF(ISNA(MATCH($H1575,Buffers!$AE:$AE,0)),"Not on Buffers",IF(NOT(ISNUMBER($B1575)),"Needs a date",IF(INT($B1575)&lt;PlanDate,"Past due",IF(INT($B1575)=PlanDate,"Due today",IF(AND(INDEX(Buffers!$L:$L,MATCH($H1575,Buffers!$AE:$AE,0))="Planned",$E1575&gt;0,INT($B1575)&lt;=PlanDate+ROUNDUP(IF(ISNUMBER(SpikeHorizon),SpikeHorizon,INDEX(Buffers!$D:$D,MATCH($H1575,Buffers!$AE:$AE,0))),0),$E1575&gt;=SpikePct*INDEX(Buffers!$P:$P,MATCH($H1575,Buffers!$AE:$AE,0))),"Spike","Not qualified"))))))</f>
        <v/>
      </c>
      <c r="G1575" s="8" t="str">
        <f aca="false">IF($A1575="","",IF(OR($F1575="Past due",$F1575="Due today",$F1575="Spike"),$C1575,0))</f>
        <v/>
      </c>
      <c r="H1575" s="8" t="str">
        <f aca="false">IF($A1575="","",SUBSTITUTE(SUBSTITUTE(SUBSTITUTE($A1575&amp;"","~","~~"),"*","~*"),"?","~?"))</f>
        <v/>
      </c>
    </row>
    <row r="1576" customFormat="false" ht="15" hidden="false" customHeight="false" outlineLevel="0" collapsed="false">
      <c r="A1576" s="11"/>
      <c r="B1576" s="6"/>
      <c r="C1576" s="11"/>
      <c r="D1576" s="11"/>
      <c r="E1576" s="8" t="str">
        <f aca="false">IF($A1576="","",SUMIFS($C:$C,$A:$A,$H1576,$B:$B,"&gt;="&amp;INT($B1576),$B:$B,"&lt;"&amp;(INT($B1576)+1)))</f>
        <v/>
      </c>
      <c r="F1576" s="19" t="str">
        <f aca="false">IF($A1576="","",IF(ISNA(MATCH($H1576,Buffers!$AE:$AE,0)),"Not on Buffers",IF(NOT(ISNUMBER($B1576)),"Needs a date",IF(INT($B1576)&lt;PlanDate,"Past due",IF(INT($B1576)=PlanDate,"Due today",IF(AND(INDEX(Buffers!$L:$L,MATCH($H1576,Buffers!$AE:$AE,0))="Planned",$E1576&gt;0,INT($B1576)&lt;=PlanDate+ROUNDUP(IF(ISNUMBER(SpikeHorizon),SpikeHorizon,INDEX(Buffers!$D:$D,MATCH($H1576,Buffers!$AE:$AE,0))),0),$E1576&gt;=SpikePct*INDEX(Buffers!$P:$P,MATCH($H1576,Buffers!$AE:$AE,0))),"Spike","Not qualified"))))))</f>
        <v/>
      </c>
      <c r="G1576" s="8" t="str">
        <f aca="false">IF($A1576="","",IF(OR($F1576="Past due",$F1576="Due today",$F1576="Spike"),$C1576,0))</f>
        <v/>
      </c>
      <c r="H1576" s="8" t="str">
        <f aca="false">IF($A1576="","",SUBSTITUTE(SUBSTITUTE(SUBSTITUTE($A1576&amp;"","~","~~"),"*","~*"),"?","~?"))</f>
        <v/>
      </c>
    </row>
    <row r="1577" customFormat="false" ht="15" hidden="false" customHeight="false" outlineLevel="0" collapsed="false">
      <c r="A1577" s="11"/>
      <c r="B1577" s="6"/>
      <c r="C1577" s="11"/>
      <c r="D1577" s="11"/>
      <c r="E1577" s="8" t="str">
        <f aca="false">IF($A1577="","",SUMIFS($C:$C,$A:$A,$H1577,$B:$B,"&gt;="&amp;INT($B1577),$B:$B,"&lt;"&amp;(INT($B1577)+1)))</f>
        <v/>
      </c>
      <c r="F1577" s="19" t="str">
        <f aca="false">IF($A1577="","",IF(ISNA(MATCH($H1577,Buffers!$AE:$AE,0)),"Not on Buffers",IF(NOT(ISNUMBER($B1577)),"Needs a date",IF(INT($B1577)&lt;PlanDate,"Past due",IF(INT($B1577)=PlanDate,"Due today",IF(AND(INDEX(Buffers!$L:$L,MATCH($H1577,Buffers!$AE:$AE,0))="Planned",$E1577&gt;0,INT($B1577)&lt;=PlanDate+ROUNDUP(IF(ISNUMBER(SpikeHorizon),SpikeHorizon,INDEX(Buffers!$D:$D,MATCH($H1577,Buffers!$AE:$AE,0))),0),$E1577&gt;=SpikePct*INDEX(Buffers!$P:$P,MATCH($H1577,Buffers!$AE:$AE,0))),"Spike","Not qualified"))))))</f>
        <v/>
      </c>
      <c r="G1577" s="8" t="str">
        <f aca="false">IF($A1577="","",IF(OR($F1577="Past due",$F1577="Due today",$F1577="Spike"),$C1577,0))</f>
        <v/>
      </c>
      <c r="H1577" s="8" t="str">
        <f aca="false">IF($A1577="","",SUBSTITUTE(SUBSTITUTE(SUBSTITUTE($A1577&amp;"","~","~~"),"*","~*"),"?","~?"))</f>
        <v/>
      </c>
    </row>
    <row r="1578" customFormat="false" ht="15" hidden="false" customHeight="false" outlineLevel="0" collapsed="false">
      <c r="A1578" s="11"/>
      <c r="B1578" s="6"/>
      <c r="C1578" s="11"/>
      <c r="D1578" s="11"/>
      <c r="E1578" s="8" t="str">
        <f aca="false">IF($A1578="","",SUMIFS($C:$C,$A:$A,$H1578,$B:$B,"&gt;="&amp;INT($B1578),$B:$B,"&lt;"&amp;(INT($B1578)+1)))</f>
        <v/>
      </c>
      <c r="F1578" s="19" t="str">
        <f aca="false">IF($A1578="","",IF(ISNA(MATCH($H1578,Buffers!$AE:$AE,0)),"Not on Buffers",IF(NOT(ISNUMBER($B1578)),"Needs a date",IF(INT($B1578)&lt;PlanDate,"Past due",IF(INT($B1578)=PlanDate,"Due today",IF(AND(INDEX(Buffers!$L:$L,MATCH($H1578,Buffers!$AE:$AE,0))="Planned",$E1578&gt;0,INT($B1578)&lt;=PlanDate+ROUNDUP(IF(ISNUMBER(SpikeHorizon),SpikeHorizon,INDEX(Buffers!$D:$D,MATCH($H1578,Buffers!$AE:$AE,0))),0),$E1578&gt;=SpikePct*INDEX(Buffers!$P:$P,MATCH($H1578,Buffers!$AE:$AE,0))),"Spike","Not qualified"))))))</f>
        <v/>
      </c>
      <c r="G1578" s="8" t="str">
        <f aca="false">IF($A1578="","",IF(OR($F1578="Past due",$F1578="Due today",$F1578="Spike"),$C1578,0))</f>
        <v/>
      </c>
      <c r="H1578" s="8" t="str">
        <f aca="false">IF($A1578="","",SUBSTITUTE(SUBSTITUTE(SUBSTITUTE($A1578&amp;"","~","~~"),"*","~*"),"?","~?"))</f>
        <v/>
      </c>
    </row>
    <row r="1579" customFormat="false" ht="15" hidden="false" customHeight="false" outlineLevel="0" collapsed="false">
      <c r="A1579" s="11"/>
      <c r="B1579" s="6"/>
      <c r="C1579" s="11"/>
      <c r="D1579" s="11"/>
      <c r="E1579" s="8" t="str">
        <f aca="false">IF($A1579="","",SUMIFS($C:$C,$A:$A,$H1579,$B:$B,"&gt;="&amp;INT($B1579),$B:$B,"&lt;"&amp;(INT($B1579)+1)))</f>
        <v/>
      </c>
      <c r="F1579" s="19" t="str">
        <f aca="false">IF($A1579="","",IF(ISNA(MATCH($H1579,Buffers!$AE:$AE,0)),"Not on Buffers",IF(NOT(ISNUMBER($B1579)),"Needs a date",IF(INT($B1579)&lt;PlanDate,"Past due",IF(INT($B1579)=PlanDate,"Due today",IF(AND(INDEX(Buffers!$L:$L,MATCH($H1579,Buffers!$AE:$AE,0))="Planned",$E1579&gt;0,INT($B1579)&lt;=PlanDate+ROUNDUP(IF(ISNUMBER(SpikeHorizon),SpikeHorizon,INDEX(Buffers!$D:$D,MATCH($H1579,Buffers!$AE:$AE,0))),0),$E1579&gt;=SpikePct*INDEX(Buffers!$P:$P,MATCH($H1579,Buffers!$AE:$AE,0))),"Spike","Not qualified"))))))</f>
        <v/>
      </c>
      <c r="G1579" s="8" t="str">
        <f aca="false">IF($A1579="","",IF(OR($F1579="Past due",$F1579="Due today",$F1579="Spike"),$C1579,0))</f>
        <v/>
      </c>
      <c r="H1579" s="8" t="str">
        <f aca="false">IF($A1579="","",SUBSTITUTE(SUBSTITUTE(SUBSTITUTE($A1579&amp;"","~","~~"),"*","~*"),"?","~?"))</f>
        <v/>
      </c>
    </row>
    <row r="1580" customFormat="false" ht="15" hidden="false" customHeight="false" outlineLevel="0" collapsed="false">
      <c r="A1580" s="11"/>
      <c r="B1580" s="6"/>
      <c r="C1580" s="11"/>
      <c r="D1580" s="11"/>
      <c r="E1580" s="8" t="str">
        <f aca="false">IF($A1580="","",SUMIFS($C:$C,$A:$A,$H1580,$B:$B,"&gt;="&amp;INT($B1580),$B:$B,"&lt;"&amp;(INT($B1580)+1)))</f>
        <v/>
      </c>
      <c r="F1580" s="19" t="str">
        <f aca="false">IF($A1580="","",IF(ISNA(MATCH($H1580,Buffers!$AE:$AE,0)),"Not on Buffers",IF(NOT(ISNUMBER($B1580)),"Needs a date",IF(INT($B1580)&lt;PlanDate,"Past due",IF(INT($B1580)=PlanDate,"Due today",IF(AND(INDEX(Buffers!$L:$L,MATCH($H1580,Buffers!$AE:$AE,0))="Planned",$E1580&gt;0,INT($B1580)&lt;=PlanDate+ROUNDUP(IF(ISNUMBER(SpikeHorizon),SpikeHorizon,INDEX(Buffers!$D:$D,MATCH($H1580,Buffers!$AE:$AE,0))),0),$E1580&gt;=SpikePct*INDEX(Buffers!$P:$P,MATCH($H1580,Buffers!$AE:$AE,0))),"Spike","Not qualified"))))))</f>
        <v/>
      </c>
      <c r="G1580" s="8" t="str">
        <f aca="false">IF($A1580="","",IF(OR($F1580="Past due",$F1580="Due today",$F1580="Spike"),$C1580,0))</f>
        <v/>
      </c>
      <c r="H1580" s="8" t="str">
        <f aca="false">IF($A1580="","",SUBSTITUTE(SUBSTITUTE(SUBSTITUTE($A1580&amp;"","~","~~"),"*","~*"),"?","~?"))</f>
        <v/>
      </c>
    </row>
    <row r="1581" customFormat="false" ht="15" hidden="false" customHeight="false" outlineLevel="0" collapsed="false">
      <c r="A1581" s="11"/>
      <c r="B1581" s="6"/>
      <c r="C1581" s="11"/>
      <c r="D1581" s="11"/>
      <c r="E1581" s="8" t="str">
        <f aca="false">IF($A1581="","",SUMIFS($C:$C,$A:$A,$H1581,$B:$B,"&gt;="&amp;INT($B1581),$B:$B,"&lt;"&amp;(INT($B1581)+1)))</f>
        <v/>
      </c>
      <c r="F1581" s="19" t="str">
        <f aca="false">IF($A1581="","",IF(ISNA(MATCH($H1581,Buffers!$AE:$AE,0)),"Not on Buffers",IF(NOT(ISNUMBER($B1581)),"Needs a date",IF(INT($B1581)&lt;PlanDate,"Past due",IF(INT($B1581)=PlanDate,"Due today",IF(AND(INDEX(Buffers!$L:$L,MATCH($H1581,Buffers!$AE:$AE,0))="Planned",$E1581&gt;0,INT($B1581)&lt;=PlanDate+ROUNDUP(IF(ISNUMBER(SpikeHorizon),SpikeHorizon,INDEX(Buffers!$D:$D,MATCH($H1581,Buffers!$AE:$AE,0))),0),$E1581&gt;=SpikePct*INDEX(Buffers!$P:$P,MATCH($H1581,Buffers!$AE:$AE,0))),"Spike","Not qualified"))))))</f>
        <v/>
      </c>
      <c r="G1581" s="8" t="str">
        <f aca="false">IF($A1581="","",IF(OR($F1581="Past due",$F1581="Due today",$F1581="Spike"),$C1581,0))</f>
        <v/>
      </c>
      <c r="H1581" s="8" t="str">
        <f aca="false">IF($A1581="","",SUBSTITUTE(SUBSTITUTE(SUBSTITUTE($A1581&amp;"","~","~~"),"*","~*"),"?","~?"))</f>
        <v/>
      </c>
    </row>
    <row r="1582" customFormat="false" ht="15" hidden="false" customHeight="false" outlineLevel="0" collapsed="false">
      <c r="A1582" s="11"/>
      <c r="B1582" s="6"/>
      <c r="C1582" s="11"/>
      <c r="D1582" s="11"/>
      <c r="E1582" s="8" t="str">
        <f aca="false">IF($A1582="","",SUMIFS($C:$C,$A:$A,$H1582,$B:$B,"&gt;="&amp;INT($B1582),$B:$B,"&lt;"&amp;(INT($B1582)+1)))</f>
        <v/>
      </c>
      <c r="F1582" s="19" t="str">
        <f aca="false">IF($A1582="","",IF(ISNA(MATCH($H1582,Buffers!$AE:$AE,0)),"Not on Buffers",IF(NOT(ISNUMBER($B1582)),"Needs a date",IF(INT($B1582)&lt;PlanDate,"Past due",IF(INT($B1582)=PlanDate,"Due today",IF(AND(INDEX(Buffers!$L:$L,MATCH($H1582,Buffers!$AE:$AE,0))="Planned",$E1582&gt;0,INT($B1582)&lt;=PlanDate+ROUNDUP(IF(ISNUMBER(SpikeHorizon),SpikeHorizon,INDEX(Buffers!$D:$D,MATCH($H1582,Buffers!$AE:$AE,0))),0),$E1582&gt;=SpikePct*INDEX(Buffers!$P:$P,MATCH($H1582,Buffers!$AE:$AE,0))),"Spike","Not qualified"))))))</f>
        <v/>
      </c>
      <c r="G1582" s="8" t="str">
        <f aca="false">IF($A1582="","",IF(OR($F1582="Past due",$F1582="Due today",$F1582="Spike"),$C1582,0))</f>
        <v/>
      </c>
      <c r="H1582" s="8" t="str">
        <f aca="false">IF($A1582="","",SUBSTITUTE(SUBSTITUTE(SUBSTITUTE($A1582&amp;"","~","~~"),"*","~*"),"?","~?"))</f>
        <v/>
      </c>
    </row>
    <row r="1583" customFormat="false" ht="15" hidden="false" customHeight="false" outlineLevel="0" collapsed="false">
      <c r="A1583" s="11"/>
      <c r="B1583" s="6"/>
      <c r="C1583" s="11"/>
      <c r="D1583" s="11"/>
      <c r="E1583" s="8" t="str">
        <f aca="false">IF($A1583="","",SUMIFS($C:$C,$A:$A,$H1583,$B:$B,"&gt;="&amp;INT($B1583),$B:$B,"&lt;"&amp;(INT($B1583)+1)))</f>
        <v/>
      </c>
      <c r="F1583" s="19" t="str">
        <f aca="false">IF($A1583="","",IF(ISNA(MATCH($H1583,Buffers!$AE:$AE,0)),"Not on Buffers",IF(NOT(ISNUMBER($B1583)),"Needs a date",IF(INT($B1583)&lt;PlanDate,"Past due",IF(INT($B1583)=PlanDate,"Due today",IF(AND(INDEX(Buffers!$L:$L,MATCH($H1583,Buffers!$AE:$AE,0))="Planned",$E1583&gt;0,INT($B1583)&lt;=PlanDate+ROUNDUP(IF(ISNUMBER(SpikeHorizon),SpikeHorizon,INDEX(Buffers!$D:$D,MATCH($H1583,Buffers!$AE:$AE,0))),0),$E1583&gt;=SpikePct*INDEX(Buffers!$P:$P,MATCH($H1583,Buffers!$AE:$AE,0))),"Spike","Not qualified"))))))</f>
        <v/>
      </c>
      <c r="G1583" s="8" t="str">
        <f aca="false">IF($A1583="","",IF(OR($F1583="Past due",$F1583="Due today",$F1583="Spike"),$C1583,0))</f>
        <v/>
      </c>
      <c r="H1583" s="8" t="str">
        <f aca="false">IF($A1583="","",SUBSTITUTE(SUBSTITUTE(SUBSTITUTE($A1583&amp;"","~","~~"),"*","~*"),"?","~?"))</f>
        <v/>
      </c>
    </row>
    <row r="1584" customFormat="false" ht="15" hidden="false" customHeight="false" outlineLevel="0" collapsed="false">
      <c r="A1584" s="11"/>
      <c r="B1584" s="6"/>
      <c r="C1584" s="11"/>
      <c r="D1584" s="11"/>
      <c r="E1584" s="8" t="str">
        <f aca="false">IF($A1584="","",SUMIFS($C:$C,$A:$A,$H1584,$B:$B,"&gt;="&amp;INT($B1584),$B:$B,"&lt;"&amp;(INT($B1584)+1)))</f>
        <v/>
      </c>
      <c r="F1584" s="19" t="str">
        <f aca="false">IF($A1584="","",IF(ISNA(MATCH($H1584,Buffers!$AE:$AE,0)),"Not on Buffers",IF(NOT(ISNUMBER($B1584)),"Needs a date",IF(INT($B1584)&lt;PlanDate,"Past due",IF(INT($B1584)=PlanDate,"Due today",IF(AND(INDEX(Buffers!$L:$L,MATCH($H1584,Buffers!$AE:$AE,0))="Planned",$E1584&gt;0,INT($B1584)&lt;=PlanDate+ROUNDUP(IF(ISNUMBER(SpikeHorizon),SpikeHorizon,INDEX(Buffers!$D:$D,MATCH($H1584,Buffers!$AE:$AE,0))),0),$E1584&gt;=SpikePct*INDEX(Buffers!$P:$P,MATCH($H1584,Buffers!$AE:$AE,0))),"Spike","Not qualified"))))))</f>
        <v/>
      </c>
      <c r="G1584" s="8" t="str">
        <f aca="false">IF($A1584="","",IF(OR($F1584="Past due",$F1584="Due today",$F1584="Spike"),$C1584,0))</f>
        <v/>
      </c>
      <c r="H1584" s="8" t="str">
        <f aca="false">IF($A1584="","",SUBSTITUTE(SUBSTITUTE(SUBSTITUTE($A1584&amp;"","~","~~"),"*","~*"),"?","~?"))</f>
        <v/>
      </c>
    </row>
    <row r="1585" customFormat="false" ht="15" hidden="false" customHeight="false" outlineLevel="0" collapsed="false">
      <c r="A1585" s="11"/>
      <c r="B1585" s="6"/>
      <c r="C1585" s="11"/>
      <c r="D1585" s="11"/>
      <c r="E1585" s="8" t="str">
        <f aca="false">IF($A1585="","",SUMIFS($C:$C,$A:$A,$H1585,$B:$B,"&gt;="&amp;INT($B1585),$B:$B,"&lt;"&amp;(INT($B1585)+1)))</f>
        <v/>
      </c>
      <c r="F1585" s="19" t="str">
        <f aca="false">IF($A1585="","",IF(ISNA(MATCH($H1585,Buffers!$AE:$AE,0)),"Not on Buffers",IF(NOT(ISNUMBER($B1585)),"Needs a date",IF(INT($B1585)&lt;PlanDate,"Past due",IF(INT($B1585)=PlanDate,"Due today",IF(AND(INDEX(Buffers!$L:$L,MATCH($H1585,Buffers!$AE:$AE,0))="Planned",$E1585&gt;0,INT($B1585)&lt;=PlanDate+ROUNDUP(IF(ISNUMBER(SpikeHorizon),SpikeHorizon,INDEX(Buffers!$D:$D,MATCH($H1585,Buffers!$AE:$AE,0))),0),$E1585&gt;=SpikePct*INDEX(Buffers!$P:$P,MATCH($H1585,Buffers!$AE:$AE,0))),"Spike","Not qualified"))))))</f>
        <v/>
      </c>
      <c r="G1585" s="8" t="str">
        <f aca="false">IF($A1585="","",IF(OR($F1585="Past due",$F1585="Due today",$F1585="Spike"),$C1585,0))</f>
        <v/>
      </c>
      <c r="H1585" s="8" t="str">
        <f aca="false">IF($A1585="","",SUBSTITUTE(SUBSTITUTE(SUBSTITUTE($A1585&amp;"","~","~~"),"*","~*"),"?","~?"))</f>
        <v/>
      </c>
    </row>
    <row r="1586" customFormat="false" ht="15" hidden="false" customHeight="false" outlineLevel="0" collapsed="false">
      <c r="A1586" s="11"/>
      <c r="B1586" s="6"/>
      <c r="C1586" s="11"/>
      <c r="D1586" s="11"/>
      <c r="E1586" s="8" t="str">
        <f aca="false">IF($A1586="","",SUMIFS($C:$C,$A:$A,$H1586,$B:$B,"&gt;="&amp;INT($B1586),$B:$B,"&lt;"&amp;(INT($B1586)+1)))</f>
        <v/>
      </c>
      <c r="F1586" s="19" t="str">
        <f aca="false">IF($A1586="","",IF(ISNA(MATCH($H1586,Buffers!$AE:$AE,0)),"Not on Buffers",IF(NOT(ISNUMBER($B1586)),"Needs a date",IF(INT($B1586)&lt;PlanDate,"Past due",IF(INT($B1586)=PlanDate,"Due today",IF(AND(INDEX(Buffers!$L:$L,MATCH($H1586,Buffers!$AE:$AE,0))="Planned",$E1586&gt;0,INT($B1586)&lt;=PlanDate+ROUNDUP(IF(ISNUMBER(SpikeHorizon),SpikeHorizon,INDEX(Buffers!$D:$D,MATCH($H1586,Buffers!$AE:$AE,0))),0),$E1586&gt;=SpikePct*INDEX(Buffers!$P:$P,MATCH($H1586,Buffers!$AE:$AE,0))),"Spike","Not qualified"))))))</f>
        <v/>
      </c>
      <c r="G1586" s="8" t="str">
        <f aca="false">IF($A1586="","",IF(OR($F1586="Past due",$F1586="Due today",$F1586="Spike"),$C1586,0))</f>
        <v/>
      </c>
      <c r="H1586" s="8" t="str">
        <f aca="false">IF($A1586="","",SUBSTITUTE(SUBSTITUTE(SUBSTITUTE($A1586&amp;"","~","~~"),"*","~*"),"?","~?"))</f>
        <v/>
      </c>
    </row>
    <row r="1587" customFormat="false" ht="15" hidden="false" customHeight="false" outlineLevel="0" collapsed="false">
      <c r="A1587" s="11"/>
      <c r="B1587" s="6"/>
      <c r="C1587" s="11"/>
      <c r="D1587" s="11"/>
      <c r="E1587" s="8" t="str">
        <f aca="false">IF($A1587="","",SUMIFS($C:$C,$A:$A,$H1587,$B:$B,"&gt;="&amp;INT($B1587),$B:$B,"&lt;"&amp;(INT($B1587)+1)))</f>
        <v/>
      </c>
      <c r="F1587" s="19" t="str">
        <f aca="false">IF($A1587="","",IF(ISNA(MATCH($H1587,Buffers!$AE:$AE,0)),"Not on Buffers",IF(NOT(ISNUMBER($B1587)),"Needs a date",IF(INT($B1587)&lt;PlanDate,"Past due",IF(INT($B1587)=PlanDate,"Due today",IF(AND(INDEX(Buffers!$L:$L,MATCH($H1587,Buffers!$AE:$AE,0))="Planned",$E1587&gt;0,INT($B1587)&lt;=PlanDate+ROUNDUP(IF(ISNUMBER(SpikeHorizon),SpikeHorizon,INDEX(Buffers!$D:$D,MATCH($H1587,Buffers!$AE:$AE,0))),0),$E1587&gt;=SpikePct*INDEX(Buffers!$P:$P,MATCH($H1587,Buffers!$AE:$AE,0))),"Spike","Not qualified"))))))</f>
        <v/>
      </c>
      <c r="G1587" s="8" t="str">
        <f aca="false">IF($A1587="","",IF(OR($F1587="Past due",$F1587="Due today",$F1587="Spike"),$C1587,0))</f>
        <v/>
      </c>
      <c r="H1587" s="8" t="str">
        <f aca="false">IF($A1587="","",SUBSTITUTE(SUBSTITUTE(SUBSTITUTE($A1587&amp;"","~","~~"),"*","~*"),"?","~?"))</f>
        <v/>
      </c>
    </row>
    <row r="1588" customFormat="false" ht="15" hidden="false" customHeight="false" outlineLevel="0" collapsed="false">
      <c r="A1588" s="11"/>
      <c r="B1588" s="6"/>
      <c r="C1588" s="11"/>
      <c r="D1588" s="11"/>
      <c r="E1588" s="8" t="str">
        <f aca="false">IF($A1588="","",SUMIFS($C:$C,$A:$A,$H1588,$B:$B,"&gt;="&amp;INT($B1588),$B:$B,"&lt;"&amp;(INT($B1588)+1)))</f>
        <v/>
      </c>
      <c r="F1588" s="19" t="str">
        <f aca="false">IF($A1588="","",IF(ISNA(MATCH($H1588,Buffers!$AE:$AE,0)),"Not on Buffers",IF(NOT(ISNUMBER($B1588)),"Needs a date",IF(INT($B1588)&lt;PlanDate,"Past due",IF(INT($B1588)=PlanDate,"Due today",IF(AND(INDEX(Buffers!$L:$L,MATCH($H1588,Buffers!$AE:$AE,0))="Planned",$E1588&gt;0,INT($B1588)&lt;=PlanDate+ROUNDUP(IF(ISNUMBER(SpikeHorizon),SpikeHorizon,INDEX(Buffers!$D:$D,MATCH($H1588,Buffers!$AE:$AE,0))),0),$E1588&gt;=SpikePct*INDEX(Buffers!$P:$P,MATCH($H1588,Buffers!$AE:$AE,0))),"Spike","Not qualified"))))))</f>
        <v/>
      </c>
      <c r="G1588" s="8" t="str">
        <f aca="false">IF($A1588="","",IF(OR($F1588="Past due",$F1588="Due today",$F1588="Spike"),$C1588,0))</f>
        <v/>
      </c>
      <c r="H1588" s="8" t="str">
        <f aca="false">IF($A1588="","",SUBSTITUTE(SUBSTITUTE(SUBSTITUTE($A1588&amp;"","~","~~"),"*","~*"),"?","~?"))</f>
        <v/>
      </c>
    </row>
    <row r="1589" customFormat="false" ht="15" hidden="false" customHeight="false" outlineLevel="0" collapsed="false">
      <c r="A1589" s="11"/>
      <c r="B1589" s="6"/>
      <c r="C1589" s="11"/>
      <c r="D1589" s="11"/>
      <c r="E1589" s="8" t="str">
        <f aca="false">IF($A1589="","",SUMIFS($C:$C,$A:$A,$H1589,$B:$B,"&gt;="&amp;INT($B1589),$B:$B,"&lt;"&amp;(INT($B1589)+1)))</f>
        <v/>
      </c>
      <c r="F1589" s="19" t="str">
        <f aca="false">IF($A1589="","",IF(ISNA(MATCH($H1589,Buffers!$AE:$AE,0)),"Not on Buffers",IF(NOT(ISNUMBER($B1589)),"Needs a date",IF(INT($B1589)&lt;PlanDate,"Past due",IF(INT($B1589)=PlanDate,"Due today",IF(AND(INDEX(Buffers!$L:$L,MATCH($H1589,Buffers!$AE:$AE,0))="Planned",$E1589&gt;0,INT($B1589)&lt;=PlanDate+ROUNDUP(IF(ISNUMBER(SpikeHorizon),SpikeHorizon,INDEX(Buffers!$D:$D,MATCH($H1589,Buffers!$AE:$AE,0))),0),$E1589&gt;=SpikePct*INDEX(Buffers!$P:$P,MATCH($H1589,Buffers!$AE:$AE,0))),"Spike","Not qualified"))))))</f>
        <v/>
      </c>
      <c r="G1589" s="8" t="str">
        <f aca="false">IF($A1589="","",IF(OR($F1589="Past due",$F1589="Due today",$F1589="Spike"),$C1589,0))</f>
        <v/>
      </c>
      <c r="H1589" s="8" t="str">
        <f aca="false">IF($A1589="","",SUBSTITUTE(SUBSTITUTE(SUBSTITUTE($A1589&amp;"","~","~~"),"*","~*"),"?","~?"))</f>
        <v/>
      </c>
    </row>
    <row r="1590" customFormat="false" ht="15" hidden="false" customHeight="false" outlineLevel="0" collapsed="false">
      <c r="A1590" s="11"/>
      <c r="B1590" s="6"/>
      <c r="C1590" s="11"/>
      <c r="D1590" s="11"/>
      <c r="E1590" s="8" t="str">
        <f aca="false">IF($A1590="","",SUMIFS($C:$C,$A:$A,$H1590,$B:$B,"&gt;="&amp;INT($B1590),$B:$B,"&lt;"&amp;(INT($B1590)+1)))</f>
        <v/>
      </c>
      <c r="F1590" s="19" t="str">
        <f aca="false">IF($A1590="","",IF(ISNA(MATCH($H1590,Buffers!$AE:$AE,0)),"Not on Buffers",IF(NOT(ISNUMBER($B1590)),"Needs a date",IF(INT($B1590)&lt;PlanDate,"Past due",IF(INT($B1590)=PlanDate,"Due today",IF(AND(INDEX(Buffers!$L:$L,MATCH($H1590,Buffers!$AE:$AE,0))="Planned",$E1590&gt;0,INT($B1590)&lt;=PlanDate+ROUNDUP(IF(ISNUMBER(SpikeHorizon),SpikeHorizon,INDEX(Buffers!$D:$D,MATCH($H1590,Buffers!$AE:$AE,0))),0),$E1590&gt;=SpikePct*INDEX(Buffers!$P:$P,MATCH($H1590,Buffers!$AE:$AE,0))),"Spike","Not qualified"))))))</f>
        <v/>
      </c>
      <c r="G1590" s="8" t="str">
        <f aca="false">IF($A1590="","",IF(OR($F1590="Past due",$F1590="Due today",$F1590="Spike"),$C1590,0))</f>
        <v/>
      </c>
      <c r="H1590" s="8" t="str">
        <f aca="false">IF($A1590="","",SUBSTITUTE(SUBSTITUTE(SUBSTITUTE($A1590&amp;"","~","~~"),"*","~*"),"?","~?"))</f>
        <v/>
      </c>
    </row>
    <row r="1591" customFormat="false" ht="15" hidden="false" customHeight="false" outlineLevel="0" collapsed="false">
      <c r="A1591" s="11"/>
      <c r="B1591" s="6"/>
      <c r="C1591" s="11"/>
      <c r="D1591" s="11"/>
      <c r="E1591" s="8" t="str">
        <f aca="false">IF($A1591="","",SUMIFS($C:$C,$A:$A,$H1591,$B:$B,"&gt;="&amp;INT($B1591),$B:$B,"&lt;"&amp;(INT($B1591)+1)))</f>
        <v/>
      </c>
      <c r="F1591" s="19" t="str">
        <f aca="false">IF($A1591="","",IF(ISNA(MATCH($H1591,Buffers!$AE:$AE,0)),"Not on Buffers",IF(NOT(ISNUMBER($B1591)),"Needs a date",IF(INT($B1591)&lt;PlanDate,"Past due",IF(INT($B1591)=PlanDate,"Due today",IF(AND(INDEX(Buffers!$L:$L,MATCH($H1591,Buffers!$AE:$AE,0))="Planned",$E1591&gt;0,INT($B1591)&lt;=PlanDate+ROUNDUP(IF(ISNUMBER(SpikeHorizon),SpikeHorizon,INDEX(Buffers!$D:$D,MATCH($H1591,Buffers!$AE:$AE,0))),0),$E1591&gt;=SpikePct*INDEX(Buffers!$P:$P,MATCH($H1591,Buffers!$AE:$AE,0))),"Spike","Not qualified"))))))</f>
        <v/>
      </c>
      <c r="G1591" s="8" t="str">
        <f aca="false">IF($A1591="","",IF(OR($F1591="Past due",$F1591="Due today",$F1591="Spike"),$C1591,0))</f>
        <v/>
      </c>
      <c r="H1591" s="8" t="str">
        <f aca="false">IF($A1591="","",SUBSTITUTE(SUBSTITUTE(SUBSTITUTE($A1591&amp;"","~","~~"),"*","~*"),"?","~?"))</f>
        <v/>
      </c>
    </row>
    <row r="1592" customFormat="false" ht="15" hidden="false" customHeight="false" outlineLevel="0" collapsed="false">
      <c r="A1592" s="11"/>
      <c r="B1592" s="6"/>
      <c r="C1592" s="11"/>
      <c r="D1592" s="11"/>
      <c r="E1592" s="8" t="str">
        <f aca="false">IF($A1592="","",SUMIFS($C:$C,$A:$A,$H1592,$B:$B,"&gt;="&amp;INT($B1592),$B:$B,"&lt;"&amp;(INT($B1592)+1)))</f>
        <v/>
      </c>
      <c r="F1592" s="19" t="str">
        <f aca="false">IF($A1592="","",IF(ISNA(MATCH($H1592,Buffers!$AE:$AE,0)),"Not on Buffers",IF(NOT(ISNUMBER($B1592)),"Needs a date",IF(INT($B1592)&lt;PlanDate,"Past due",IF(INT($B1592)=PlanDate,"Due today",IF(AND(INDEX(Buffers!$L:$L,MATCH($H1592,Buffers!$AE:$AE,0))="Planned",$E1592&gt;0,INT($B1592)&lt;=PlanDate+ROUNDUP(IF(ISNUMBER(SpikeHorizon),SpikeHorizon,INDEX(Buffers!$D:$D,MATCH($H1592,Buffers!$AE:$AE,0))),0),$E1592&gt;=SpikePct*INDEX(Buffers!$P:$P,MATCH($H1592,Buffers!$AE:$AE,0))),"Spike","Not qualified"))))))</f>
        <v/>
      </c>
      <c r="G1592" s="8" t="str">
        <f aca="false">IF($A1592="","",IF(OR($F1592="Past due",$F1592="Due today",$F1592="Spike"),$C1592,0))</f>
        <v/>
      </c>
      <c r="H1592" s="8" t="str">
        <f aca="false">IF($A1592="","",SUBSTITUTE(SUBSTITUTE(SUBSTITUTE($A1592&amp;"","~","~~"),"*","~*"),"?","~?"))</f>
        <v/>
      </c>
    </row>
    <row r="1593" customFormat="false" ht="15" hidden="false" customHeight="false" outlineLevel="0" collapsed="false">
      <c r="A1593" s="11"/>
      <c r="B1593" s="6"/>
      <c r="C1593" s="11"/>
      <c r="D1593" s="11"/>
      <c r="E1593" s="8" t="str">
        <f aca="false">IF($A1593="","",SUMIFS($C:$C,$A:$A,$H1593,$B:$B,"&gt;="&amp;INT($B1593),$B:$B,"&lt;"&amp;(INT($B1593)+1)))</f>
        <v/>
      </c>
      <c r="F1593" s="19" t="str">
        <f aca="false">IF($A1593="","",IF(ISNA(MATCH($H1593,Buffers!$AE:$AE,0)),"Not on Buffers",IF(NOT(ISNUMBER($B1593)),"Needs a date",IF(INT($B1593)&lt;PlanDate,"Past due",IF(INT($B1593)=PlanDate,"Due today",IF(AND(INDEX(Buffers!$L:$L,MATCH($H1593,Buffers!$AE:$AE,0))="Planned",$E1593&gt;0,INT($B1593)&lt;=PlanDate+ROUNDUP(IF(ISNUMBER(SpikeHorizon),SpikeHorizon,INDEX(Buffers!$D:$D,MATCH($H1593,Buffers!$AE:$AE,0))),0),$E1593&gt;=SpikePct*INDEX(Buffers!$P:$P,MATCH($H1593,Buffers!$AE:$AE,0))),"Spike","Not qualified"))))))</f>
        <v/>
      </c>
      <c r="G1593" s="8" t="str">
        <f aca="false">IF($A1593="","",IF(OR($F1593="Past due",$F1593="Due today",$F1593="Spike"),$C1593,0))</f>
        <v/>
      </c>
      <c r="H1593" s="8" t="str">
        <f aca="false">IF($A1593="","",SUBSTITUTE(SUBSTITUTE(SUBSTITUTE($A1593&amp;"","~","~~"),"*","~*"),"?","~?"))</f>
        <v/>
      </c>
    </row>
    <row r="1594" customFormat="false" ht="15" hidden="false" customHeight="false" outlineLevel="0" collapsed="false">
      <c r="A1594" s="11"/>
      <c r="B1594" s="6"/>
      <c r="C1594" s="11"/>
      <c r="D1594" s="11"/>
      <c r="E1594" s="8" t="str">
        <f aca="false">IF($A1594="","",SUMIFS($C:$C,$A:$A,$H1594,$B:$B,"&gt;="&amp;INT($B1594),$B:$B,"&lt;"&amp;(INT($B1594)+1)))</f>
        <v/>
      </c>
      <c r="F1594" s="19" t="str">
        <f aca="false">IF($A1594="","",IF(ISNA(MATCH($H1594,Buffers!$AE:$AE,0)),"Not on Buffers",IF(NOT(ISNUMBER($B1594)),"Needs a date",IF(INT($B1594)&lt;PlanDate,"Past due",IF(INT($B1594)=PlanDate,"Due today",IF(AND(INDEX(Buffers!$L:$L,MATCH($H1594,Buffers!$AE:$AE,0))="Planned",$E1594&gt;0,INT($B1594)&lt;=PlanDate+ROUNDUP(IF(ISNUMBER(SpikeHorizon),SpikeHorizon,INDEX(Buffers!$D:$D,MATCH($H1594,Buffers!$AE:$AE,0))),0),$E1594&gt;=SpikePct*INDEX(Buffers!$P:$P,MATCH($H1594,Buffers!$AE:$AE,0))),"Spike","Not qualified"))))))</f>
        <v/>
      </c>
      <c r="G1594" s="8" t="str">
        <f aca="false">IF($A1594="","",IF(OR($F1594="Past due",$F1594="Due today",$F1594="Spike"),$C1594,0))</f>
        <v/>
      </c>
      <c r="H1594" s="8" t="str">
        <f aca="false">IF($A1594="","",SUBSTITUTE(SUBSTITUTE(SUBSTITUTE($A1594&amp;"","~","~~"),"*","~*"),"?","~?"))</f>
        <v/>
      </c>
    </row>
    <row r="1595" customFormat="false" ht="15" hidden="false" customHeight="false" outlineLevel="0" collapsed="false">
      <c r="A1595" s="11"/>
      <c r="B1595" s="6"/>
      <c r="C1595" s="11"/>
      <c r="D1595" s="11"/>
      <c r="E1595" s="8" t="str">
        <f aca="false">IF($A1595="","",SUMIFS($C:$C,$A:$A,$H1595,$B:$B,"&gt;="&amp;INT($B1595),$B:$B,"&lt;"&amp;(INT($B1595)+1)))</f>
        <v/>
      </c>
      <c r="F1595" s="19" t="str">
        <f aca="false">IF($A1595="","",IF(ISNA(MATCH($H1595,Buffers!$AE:$AE,0)),"Not on Buffers",IF(NOT(ISNUMBER($B1595)),"Needs a date",IF(INT($B1595)&lt;PlanDate,"Past due",IF(INT($B1595)=PlanDate,"Due today",IF(AND(INDEX(Buffers!$L:$L,MATCH($H1595,Buffers!$AE:$AE,0))="Planned",$E1595&gt;0,INT($B1595)&lt;=PlanDate+ROUNDUP(IF(ISNUMBER(SpikeHorizon),SpikeHorizon,INDEX(Buffers!$D:$D,MATCH($H1595,Buffers!$AE:$AE,0))),0),$E1595&gt;=SpikePct*INDEX(Buffers!$P:$P,MATCH($H1595,Buffers!$AE:$AE,0))),"Spike","Not qualified"))))))</f>
        <v/>
      </c>
      <c r="G1595" s="8" t="str">
        <f aca="false">IF($A1595="","",IF(OR($F1595="Past due",$F1595="Due today",$F1595="Spike"),$C1595,0))</f>
        <v/>
      </c>
      <c r="H1595" s="8" t="str">
        <f aca="false">IF($A1595="","",SUBSTITUTE(SUBSTITUTE(SUBSTITUTE($A1595&amp;"","~","~~"),"*","~*"),"?","~?"))</f>
        <v/>
      </c>
    </row>
    <row r="1596" customFormat="false" ht="15" hidden="false" customHeight="false" outlineLevel="0" collapsed="false">
      <c r="A1596" s="11"/>
      <c r="B1596" s="6"/>
      <c r="C1596" s="11"/>
      <c r="D1596" s="11"/>
      <c r="E1596" s="8" t="str">
        <f aca="false">IF($A1596="","",SUMIFS($C:$C,$A:$A,$H1596,$B:$B,"&gt;="&amp;INT($B1596),$B:$B,"&lt;"&amp;(INT($B1596)+1)))</f>
        <v/>
      </c>
      <c r="F1596" s="19" t="str">
        <f aca="false">IF($A1596="","",IF(ISNA(MATCH($H1596,Buffers!$AE:$AE,0)),"Not on Buffers",IF(NOT(ISNUMBER($B1596)),"Needs a date",IF(INT($B1596)&lt;PlanDate,"Past due",IF(INT($B1596)=PlanDate,"Due today",IF(AND(INDEX(Buffers!$L:$L,MATCH($H1596,Buffers!$AE:$AE,0))="Planned",$E1596&gt;0,INT($B1596)&lt;=PlanDate+ROUNDUP(IF(ISNUMBER(SpikeHorizon),SpikeHorizon,INDEX(Buffers!$D:$D,MATCH($H1596,Buffers!$AE:$AE,0))),0),$E1596&gt;=SpikePct*INDEX(Buffers!$P:$P,MATCH($H1596,Buffers!$AE:$AE,0))),"Spike","Not qualified"))))))</f>
        <v/>
      </c>
      <c r="G1596" s="8" t="str">
        <f aca="false">IF($A1596="","",IF(OR($F1596="Past due",$F1596="Due today",$F1596="Spike"),$C1596,0))</f>
        <v/>
      </c>
      <c r="H1596" s="8" t="str">
        <f aca="false">IF($A1596="","",SUBSTITUTE(SUBSTITUTE(SUBSTITUTE($A1596&amp;"","~","~~"),"*","~*"),"?","~?"))</f>
        <v/>
      </c>
    </row>
    <row r="1597" customFormat="false" ht="15" hidden="false" customHeight="false" outlineLevel="0" collapsed="false">
      <c r="A1597" s="11"/>
      <c r="B1597" s="6"/>
      <c r="C1597" s="11"/>
      <c r="D1597" s="11"/>
      <c r="E1597" s="8" t="str">
        <f aca="false">IF($A1597="","",SUMIFS($C:$C,$A:$A,$H1597,$B:$B,"&gt;="&amp;INT($B1597),$B:$B,"&lt;"&amp;(INT($B1597)+1)))</f>
        <v/>
      </c>
      <c r="F1597" s="19" t="str">
        <f aca="false">IF($A1597="","",IF(ISNA(MATCH($H1597,Buffers!$AE:$AE,0)),"Not on Buffers",IF(NOT(ISNUMBER($B1597)),"Needs a date",IF(INT($B1597)&lt;PlanDate,"Past due",IF(INT($B1597)=PlanDate,"Due today",IF(AND(INDEX(Buffers!$L:$L,MATCH($H1597,Buffers!$AE:$AE,0))="Planned",$E1597&gt;0,INT($B1597)&lt;=PlanDate+ROUNDUP(IF(ISNUMBER(SpikeHorizon),SpikeHorizon,INDEX(Buffers!$D:$D,MATCH($H1597,Buffers!$AE:$AE,0))),0),$E1597&gt;=SpikePct*INDEX(Buffers!$P:$P,MATCH($H1597,Buffers!$AE:$AE,0))),"Spike","Not qualified"))))))</f>
        <v/>
      </c>
      <c r="G1597" s="8" t="str">
        <f aca="false">IF($A1597="","",IF(OR($F1597="Past due",$F1597="Due today",$F1597="Spike"),$C1597,0))</f>
        <v/>
      </c>
      <c r="H1597" s="8" t="str">
        <f aca="false">IF($A1597="","",SUBSTITUTE(SUBSTITUTE(SUBSTITUTE($A1597&amp;"","~","~~"),"*","~*"),"?","~?"))</f>
        <v/>
      </c>
    </row>
    <row r="1598" customFormat="false" ht="15" hidden="false" customHeight="false" outlineLevel="0" collapsed="false">
      <c r="A1598" s="11"/>
      <c r="B1598" s="6"/>
      <c r="C1598" s="11"/>
      <c r="D1598" s="11"/>
      <c r="E1598" s="8" t="str">
        <f aca="false">IF($A1598="","",SUMIFS($C:$C,$A:$A,$H1598,$B:$B,"&gt;="&amp;INT($B1598),$B:$B,"&lt;"&amp;(INT($B1598)+1)))</f>
        <v/>
      </c>
      <c r="F1598" s="19" t="str">
        <f aca="false">IF($A1598="","",IF(ISNA(MATCH($H1598,Buffers!$AE:$AE,0)),"Not on Buffers",IF(NOT(ISNUMBER($B1598)),"Needs a date",IF(INT($B1598)&lt;PlanDate,"Past due",IF(INT($B1598)=PlanDate,"Due today",IF(AND(INDEX(Buffers!$L:$L,MATCH($H1598,Buffers!$AE:$AE,0))="Planned",$E1598&gt;0,INT($B1598)&lt;=PlanDate+ROUNDUP(IF(ISNUMBER(SpikeHorizon),SpikeHorizon,INDEX(Buffers!$D:$D,MATCH($H1598,Buffers!$AE:$AE,0))),0),$E1598&gt;=SpikePct*INDEX(Buffers!$P:$P,MATCH($H1598,Buffers!$AE:$AE,0))),"Spike","Not qualified"))))))</f>
        <v/>
      </c>
      <c r="G1598" s="8" t="str">
        <f aca="false">IF($A1598="","",IF(OR($F1598="Past due",$F1598="Due today",$F1598="Spike"),$C1598,0))</f>
        <v/>
      </c>
      <c r="H1598" s="8" t="str">
        <f aca="false">IF($A1598="","",SUBSTITUTE(SUBSTITUTE(SUBSTITUTE($A1598&amp;"","~","~~"),"*","~*"),"?","~?"))</f>
        <v/>
      </c>
    </row>
    <row r="1599" customFormat="false" ht="15" hidden="false" customHeight="false" outlineLevel="0" collapsed="false">
      <c r="A1599" s="11"/>
      <c r="B1599" s="6"/>
      <c r="C1599" s="11"/>
      <c r="D1599" s="11"/>
      <c r="E1599" s="8" t="str">
        <f aca="false">IF($A1599="","",SUMIFS($C:$C,$A:$A,$H1599,$B:$B,"&gt;="&amp;INT($B1599),$B:$B,"&lt;"&amp;(INT($B1599)+1)))</f>
        <v/>
      </c>
      <c r="F1599" s="19" t="str">
        <f aca="false">IF($A1599="","",IF(ISNA(MATCH($H1599,Buffers!$AE:$AE,0)),"Not on Buffers",IF(NOT(ISNUMBER($B1599)),"Needs a date",IF(INT($B1599)&lt;PlanDate,"Past due",IF(INT($B1599)=PlanDate,"Due today",IF(AND(INDEX(Buffers!$L:$L,MATCH($H1599,Buffers!$AE:$AE,0))="Planned",$E1599&gt;0,INT($B1599)&lt;=PlanDate+ROUNDUP(IF(ISNUMBER(SpikeHorizon),SpikeHorizon,INDEX(Buffers!$D:$D,MATCH($H1599,Buffers!$AE:$AE,0))),0),$E1599&gt;=SpikePct*INDEX(Buffers!$P:$P,MATCH($H1599,Buffers!$AE:$AE,0))),"Spike","Not qualified"))))))</f>
        <v/>
      </c>
      <c r="G1599" s="8" t="str">
        <f aca="false">IF($A1599="","",IF(OR($F1599="Past due",$F1599="Due today",$F1599="Spike"),$C1599,0))</f>
        <v/>
      </c>
      <c r="H1599" s="8" t="str">
        <f aca="false">IF($A1599="","",SUBSTITUTE(SUBSTITUTE(SUBSTITUTE($A1599&amp;"","~","~~"),"*","~*"),"?","~?"))</f>
        <v/>
      </c>
    </row>
    <row r="1600" customFormat="false" ht="15" hidden="false" customHeight="false" outlineLevel="0" collapsed="false">
      <c r="A1600" s="11"/>
      <c r="B1600" s="6"/>
      <c r="C1600" s="11"/>
      <c r="D1600" s="11"/>
      <c r="E1600" s="8" t="str">
        <f aca="false">IF($A1600="","",SUMIFS($C:$C,$A:$A,$H1600,$B:$B,"&gt;="&amp;INT($B1600),$B:$B,"&lt;"&amp;(INT($B1600)+1)))</f>
        <v/>
      </c>
      <c r="F1600" s="19" t="str">
        <f aca="false">IF($A1600="","",IF(ISNA(MATCH($H1600,Buffers!$AE:$AE,0)),"Not on Buffers",IF(NOT(ISNUMBER($B1600)),"Needs a date",IF(INT($B1600)&lt;PlanDate,"Past due",IF(INT($B1600)=PlanDate,"Due today",IF(AND(INDEX(Buffers!$L:$L,MATCH($H1600,Buffers!$AE:$AE,0))="Planned",$E1600&gt;0,INT($B1600)&lt;=PlanDate+ROUNDUP(IF(ISNUMBER(SpikeHorizon),SpikeHorizon,INDEX(Buffers!$D:$D,MATCH($H1600,Buffers!$AE:$AE,0))),0),$E1600&gt;=SpikePct*INDEX(Buffers!$P:$P,MATCH($H1600,Buffers!$AE:$AE,0))),"Spike","Not qualified"))))))</f>
        <v/>
      </c>
      <c r="G1600" s="8" t="str">
        <f aca="false">IF($A1600="","",IF(OR($F1600="Past due",$F1600="Due today",$F1600="Spike"),$C1600,0))</f>
        <v/>
      </c>
      <c r="H1600" s="8" t="str">
        <f aca="false">IF($A1600="","",SUBSTITUTE(SUBSTITUTE(SUBSTITUTE($A1600&amp;"","~","~~"),"*","~*"),"?","~?"))</f>
        <v/>
      </c>
    </row>
    <row r="1601" customFormat="false" ht="15" hidden="false" customHeight="false" outlineLevel="0" collapsed="false">
      <c r="A1601" s="11"/>
      <c r="B1601" s="6"/>
      <c r="C1601" s="11"/>
      <c r="D1601" s="11"/>
      <c r="E1601" s="8" t="str">
        <f aca="false">IF($A1601="","",SUMIFS($C:$C,$A:$A,$H1601,$B:$B,"&gt;="&amp;INT($B1601),$B:$B,"&lt;"&amp;(INT($B1601)+1)))</f>
        <v/>
      </c>
      <c r="F1601" s="19" t="str">
        <f aca="false">IF($A1601="","",IF(ISNA(MATCH($H1601,Buffers!$AE:$AE,0)),"Not on Buffers",IF(NOT(ISNUMBER($B1601)),"Needs a date",IF(INT($B1601)&lt;PlanDate,"Past due",IF(INT($B1601)=PlanDate,"Due today",IF(AND(INDEX(Buffers!$L:$L,MATCH($H1601,Buffers!$AE:$AE,0))="Planned",$E1601&gt;0,INT($B1601)&lt;=PlanDate+ROUNDUP(IF(ISNUMBER(SpikeHorizon),SpikeHorizon,INDEX(Buffers!$D:$D,MATCH($H1601,Buffers!$AE:$AE,0))),0),$E1601&gt;=SpikePct*INDEX(Buffers!$P:$P,MATCH($H1601,Buffers!$AE:$AE,0))),"Spike","Not qualified"))))))</f>
        <v/>
      </c>
      <c r="G1601" s="8" t="str">
        <f aca="false">IF($A1601="","",IF(OR($F1601="Past due",$F1601="Due today",$F1601="Spike"),$C1601,0))</f>
        <v/>
      </c>
      <c r="H1601" s="8" t="str">
        <f aca="false">IF($A1601="","",SUBSTITUTE(SUBSTITUTE(SUBSTITUTE($A1601&amp;"","~","~~"),"*","~*"),"?","~?"))</f>
        <v/>
      </c>
    </row>
    <row r="1602" customFormat="false" ht="15" hidden="false" customHeight="false" outlineLevel="0" collapsed="false">
      <c r="A1602" s="11"/>
      <c r="B1602" s="6"/>
      <c r="C1602" s="11"/>
      <c r="D1602" s="11"/>
      <c r="E1602" s="8" t="str">
        <f aca="false">IF($A1602="","",SUMIFS($C:$C,$A:$A,$H1602,$B:$B,"&gt;="&amp;INT($B1602),$B:$B,"&lt;"&amp;(INT($B1602)+1)))</f>
        <v/>
      </c>
      <c r="F1602" s="19" t="str">
        <f aca="false">IF($A1602="","",IF(ISNA(MATCH($H1602,Buffers!$AE:$AE,0)),"Not on Buffers",IF(NOT(ISNUMBER($B1602)),"Needs a date",IF(INT($B1602)&lt;PlanDate,"Past due",IF(INT($B1602)=PlanDate,"Due today",IF(AND(INDEX(Buffers!$L:$L,MATCH($H1602,Buffers!$AE:$AE,0))="Planned",$E1602&gt;0,INT($B1602)&lt;=PlanDate+ROUNDUP(IF(ISNUMBER(SpikeHorizon),SpikeHorizon,INDEX(Buffers!$D:$D,MATCH($H1602,Buffers!$AE:$AE,0))),0),$E1602&gt;=SpikePct*INDEX(Buffers!$P:$P,MATCH($H1602,Buffers!$AE:$AE,0))),"Spike","Not qualified"))))))</f>
        <v/>
      </c>
      <c r="G1602" s="8" t="str">
        <f aca="false">IF($A1602="","",IF(OR($F1602="Past due",$F1602="Due today",$F1602="Spike"),$C1602,0))</f>
        <v/>
      </c>
      <c r="H1602" s="8" t="str">
        <f aca="false">IF($A1602="","",SUBSTITUTE(SUBSTITUTE(SUBSTITUTE($A1602&amp;"","~","~~"),"*","~*"),"?","~?"))</f>
        <v/>
      </c>
    </row>
    <row r="1603" customFormat="false" ht="15" hidden="false" customHeight="false" outlineLevel="0" collapsed="false">
      <c r="A1603" s="11"/>
      <c r="B1603" s="6"/>
      <c r="C1603" s="11"/>
      <c r="D1603" s="11"/>
      <c r="E1603" s="8" t="str">
        <f aca="false">IF($A1603="","",SUMIFS($C:$C,$A:$A,$H1603,$B:$B,"&gt;="&amp;INT($B1603),$B:$B,"&lt;"&amp;(INT($B1603)+1)))</f>
        <v/>
      </c>
      <c r="F1603" s="19" t="str">
        <f aca="false">IF($A1603="","",IF(ISNA(MATCH($H1603,Buffers!$AE:$AE,0)),"Not on Buffers",IF(NOT(ISNUMBER($B1603)),"Needs a date",IF(INT($B1603)&lt;PlanDate,"Past due",IF(INT($B1603)=PlanDate,"Due today",IF(AND(INDEX(Buffers!$L:$L,MATCH($H1603,Buffers!$AE:$AE,0))="Planned",$E1603&gt;0,INT($B1603)&lt;=PlanDate+ROUNDUP(IF(ISNUMBER(SpikeHorizon),SpikeHorizon,INDEX(Buffers!$D:$D,MATCH($H1603,Buffers!$AE:$AE,0))),0),$E1603&gt;=SpikePct*INDEX(Buffers!$P:$P,MATCH($H1603,Buffers!$AE:$AE,0))),"Spike","Not qualified"))))))</f>
        <v/>
      </c>
      <c r="G1603" s="8" t="str">
        <f aca="false">IF($A1603="","",IF(OR($F1603="Past due",$F1603="Due today",$F1603="Spike"),$C1603,0))</f>
        <v/>
      </c>
      <c r="H1603" s="8" t="str">
        <f aca="false">IF($A1603="","",SUBSTITUTE(SUBSTITUTE(SUBSTITUTE($A1603&amp;"","~","~~"),"*","~*"),"?","~?"))</f>
        <v/>
      </c>
    </row>
    <row r="1604" customFormat="false" ht="15" hidden="false" customHeight="false" outlineLevel="0" collapsed="false">
      <c r="A1604" s="11"/>
      <c r="B1604" s="6"/>
      <c r="C1604" s="11"/>
      <c r="D1604" s="11"/>
      <c r="E1604" s="8" t="str">
        <f aca="false">IF($A1604="","",SUMIFS($C:$C,$A:$A,$H1604,$B:$B,"&gt;="&amp;INT($B1604),$B:$B,"&lt;"&amp;(INT($B1604)+1)))</f>
        <v/>
      </c>
      <c r="F1604" s="19" t="str">
        <f aca="false">IF($A1604="","",IF(ISNA(MATCH($H1604,Buffers!$AE:$AE,0)),"Not on Buffers",IF(NOT(ISNUMBER($B1604)),"Needs a date",IF(INT($B1604)&lt;PlanDate,"Past due",IF(INT($B1604)=PlanDate,"Due today",IF(AND(INDEX(Buffers!$L:$L,MATCH($H1604,Buffers!$AE:$AE,0))="Planned",$E1604&gt;0,INT($B1604)&lt;=PlanDate+ROUNDUP(IF(ISNUMBER(SpikeHorizon),SpikeHorizon,INDEX(Buffers!$D:$D,MATCH($H1604,Buffers!$AE:$AE,0))),0),$E1604&gt;=SpikePct*INDEX(Buffers!$P:$P,MATCH($H1604,Buffers!$AE:$AE,0))),"Spike","Not qualified"))))))</f>
        <v/>
      </c>
      <c r="G1604" s="8" t="str">
        <f aca="false">IF($A1604="","",IF(OR($F1604="Past due",$F1604="Due today",$F1604="Spike"),$C1604,0))</f>
        <v/>
      </c>
      <c r="H1604" s="8" t="str">
        <f aca="false">IF($A1604="","",SUBSTITUTE(SUBSTITUTE(SUBSTITUTE($A1604&amp;"","~","~~"),"*","~*"),"?","~?"))</f>
        <v/>
      </c>
    </row>
    <row r="1605" customFormat="false" ht="15" hidden="false" customHeight="false" outlineLevel="0" collapsed="false">
      <c r="A1605" s="11"/>
      <c r="B1605" s="6"/>
      <c r="C1605" s="11"/>
      <c r="D1605" s="11"/>
      <c r="E1605" s="8" t="str">
        <f aca="false">IF($A1605="","",SUMIFS($C:$C,$A:$A,$H1605,$B:$B,"&gt;="&amp;INT($B1605),$B:$B,"&lt;"&amp;(INT($B1605)+1)))</f>
        <v/>
      </c>
      <c r="F1605" s="19" t="str">
        <f aca="false">IF($A1605="","",IF(ISNA(MATCH($H1605,Buffers!$AE:$AE,0)),"Not on Buffers",IF(NOT(ISNUMBER($B1605)),"Needs a date",IF(INT($B1605)&lt;PlanDate,"Past due",IF(INT($B1605)=PlanDate,"Due today",IF(AND(INDEX(Buffers!$L:$L,MATCH($H1605,Buffers!$AE:$AE,0))="Planned",$E1605&gt;0,INT($B1605)&lt;=PlanDate+ROUNDUP(IF(ISNUMBER(SpikeHorizon),SpikeHorizon,INDEX(Buffers!$D:$D,MATCH($H1605,Buffers!$AE:$AE,0))),0),$E1605&gt;=SpikePct*INDEX(Buffers!$P:$P,MATCH($H1605,Buffers!$AE:$AE,0))),"Spike","Not qualified"))))))</f>
        <v/>
      </c>
      <c r="G1605" s="8" t="str">
        <f aca="false">IF($A1605="","",IF(OR($F1605="Past due",$F1605="Due today",$F1605="Spike"),$C1605,0))</f>
        <v/>
      </c>
      <c r="H1605" s="8" t="str">
        <f aca="false">IF($A1605="","",SUBSTITUTE(SUBSTITUTE(SUBSTITUTE($A1605&amp;"","~","~~"),"*","~*"),"?","~?"))</f>
        <v/>
      </c>
    </row>
    <row r="1606" customFormat="false" ht="15" hidden="false" customHeight="false" outlineLevel="0" collapsed="false">
      <c r="A1606" s="11"/>
      <c r="B1606" s="6"/>
      <c r="C1606" s="11"/>
      <c r="D1606" s="11"/>
      <c r="E1606" s="8" t="str">
        <f aca="false">IF($A1606="","",SUMIFS($C:$C,$A:$A,$H1606,$B:$B,"&gt;="&amp;INT($B1606),$B:$B,"&lt;"&amp;(INT($B1606)+1)))</f>
        <v/>
      </c>
      <c r="F1606" s="19" t="str">
        <f aca="false">IF($A1606="","",IF(ISNA(MATCH($H1606,Buffers!$AE:$AE,0)),"Not on Buffers",IF(NOT(ISNUMBER($B1606)),"Needs a date",IF(INT($B1606)&lt;PlanDate,"Past due",IF(INT($B1606)=PlanDate,"Due today",IF(AND(INDEX(Buffers!$L:$L,MATCH($H1606,Buffers!$AE:$AE,0))="Planned",$E1606&gt;0,INT($B1606)&lt;=PlanDate+ROUNDUP(IF(ISNUMBER(SpikeHorizon),SpikeHorizon,INDEX(Buffers!$D:$D,MATCH($H1606,Buffers!$AE:$AE,0))),0),$E1606&gt;=SpikePct*INDEX(Buffers!$P:$P,MATCH($H1606,Buffers!$AE:$AE,0))),"Spike","Not qualified"))))))</f>
        <v/>
      </c>
      <c r="G1606" s="8" t="str">
        <f aca="false">IF($A1606="","",IF(OR($F1606="Past due",$F1606="Due today",$F1606="Spike"),$C1606,0))</f>
        <v/>
      </c>
      <c r="H1606" s="8" t="str">
        <f aca="false">IF($A1606="","",SUBSTITUTE(SUBSTITUTE(SUBSTITUTE($A1606&amp;"","~","~~"),"*","~*"),"?","~?"))</f>
        <v/>
      </c>
    </row>
    <row r="1607" customFormat="false" ht="15" hidden="false" customHeight="false" outlineLevel="0" collapsed="false">
      <c r="A1607" s="11"/>
      <c r="B1607" s="6"/>
      <c r="C1607" s="11"/>
      <c r="D1607" s="11"/>
      <c r="E1607" s="8" t="str">
        <f aca="false">IF($A1607="","",SUMIFS($C:$C,$A:$A,$H1607,$B:$B,"&gt;="&amp;INT($B1607),$B:$B,"&lt;"&amp;(INT($B1607)+1)))</f>
        <v/>
      </c>
      <c r="F1607" s="19" t="str">
        <f aca="false">IF($A1607="","",IF(ISNA(MATCH($H1607,Buffers!$AE:$AE,0)),"Not on Buffers",IF(NOT(ISNUMBER($B1607)),"Needs a date",IF(INT($B1607)&lt;PlanDate,"Past due",IF(INT($B1607)=PlanDate,"Due today",IF(AND(INDEX(Buffers!$L:$L,MATCH($H1607,Buffers!$AE:$AE,0))="Planned",$E1607&gt;0,INT($B1607)&lt;=PlanDate+ROUNDUP(IF(ISNUMBER(SpikeHorizon),SpikeHorizon,INDEX(Buffers!$D:$D,MATCH($H1607,Buffers!$AE:$AE,0))),0),$E1607&gt;=SpikePct*INDEX(Buffers!$P:$P,MATCH($H1607,Buffers!$AE:$AE,0))),"Spike","Not qualified"))))))</f>
        <v/>
      </c>
      <c r="G1607" s="8" t="str">
        <f aca="false">IF($A1607="","",IF(OR($F1607="Past due",$F1607="Due today",$F1607="Spike"),$C1607,0))</f>
        <v/>
      </c>
      <c r="H1607" s="8" t="str">
        <f aca="false">IF($A1607="","",SUBSTITUTE(SUBSTITUTE(SUBSTITUTE($A1607&amp;"","~","~~"),"*","~*"),"?","~?"))</f>
        <v/>
      </c>
    </row>
    <row r="1608" customFormat="false" ht="15" hidden="false" customHeight="false" outlineLevel="0" collapsed="false">
      <c r="A1608" s="11"/>
      <c r="B1608" s="6"/>
      <c r="C1608" s="11"/>
      <c r="D1608" s="11"/>
      <c r="E1608" s="8" t="str">
        <f aca="false">IF($A1608="","",SUMIFS($C:$C,$A:$A,$H1608,$B:$B,"&gt;="&amp;INT($B1608),$B:$B,"&lt;"&amp;(INT($B1608)+1)))</f>
        <v/>
      </c>
      <c r="F1608" s="19" t="str">
        <f aca="false">IF($A1608="","",IF(ISNA(MATCH($H1608,Buffers!$AE:$AE,0)),"Not on Buffers",IF(NOT(ISNUMBER($B1608)),"Needs a date",IF(INT($B1608)&lt;PlanDate,"Past due",IF(INT($B1608)=PlanDate,"Due today",IF(AND(INDEX(Buffers!$L:$L,MATCH($H1608,Buffers!$AE:$AE,0))="Planned",$E1608&gt;0,INT($B1608)&lt;=PlanDate+ROUNDUP(IF(ISNUMBER(SpikeHorizon),SpikeHorizon,INDEX(Buffers!$D:$D,MATCH($H1608,Buffers!$AE:$AE,0))),0),$E1608&gt;=SpikePct*INDEX(Buffers!$P:$P,MATCH($H1608,Buffers!$AE:$AE,0))),"Spike","Not qualified"))))))</f>
        <v/>
      </c>
      <c r="G1608" s="8" t="str">
        <f aca="false">IF($A1608="","",IF(OR($F1608="Past due",$F1608="Due today",$F1608="Spike"),$C1608,0))</f>
        <v/>
      </c>
      <c r="H1608" s="8" t="str">
        <f aca="false">IF($A1608="","",SUBSTITUTE(SUBSTITUTE(SUBSTITUTE($A1608&amp;"","~","~~"),"*","~*"),"?","~?"))</f>
        <v/>
      </c>
    </row>
    <row r="1609" customFormat="false" ht="15" hidden="false" customHeight="false" outlineLevel="0" collapsed="false">
      <c r="A1609" s="11"/>
      <c r="B1609" s="6"/>
      <c r="C1609" s="11"/>
      <c r="D1609" s="11"/>
      <c r="E1609" s="8" t="str">
        <f aca="false">IF($A1609="","",SUMIFS($C:$C,$A:$A,$H1609,$B:$B,"&gt;="&amp;INT($B1609),$B:$B,"&lt;"&amp;(INT($B1609)+1)))</f>
        <v/>
      </c>
      <c r="F1609" s="19" t="str">
        <f aca="false">IF($A1609="","",IF(ISNA(MATCH($H1609,Buffers!$AE:$AE,0)),"Not on Buffers",IF(NOT(ISNUMBER($B1609)),"Needs a date",IF(INT($B1609)&lt;PlanDate,"Past due",IF(INT($B1609)=PlanDate,"Due today",IF(AND(INDEX(Buffers!$L:$L,MATCH($H1609,Buffers!$AE:$AE,0))="Planned",$E1609&gt;0,INT($B1609)&lt;=PlanDate+ROUNDUP(IF(ISNUMBER(SpikeHorizon),SpikeHorizon,INDEX(Buffers!$D:$D,MATCH($H1609,Buffers!$AE:$AE,0))),0),$E1609&gt;=SpikePct*INDEX(Buffers!$P:$P,MATCH($H1609,Buffers!$AE:$AE,0))),"Spike","Not qualified"))))))</f>
        <v/>
      </c>
      <c r="G1609" s="8" t="str">
        <f aca="false">IF($A1609="","",IF(OR($F1609="Past due",$F1609="Due today",$F1609="Spike"),$C1609,0))</f>
        <v/>
      </c>
      <c r="H1609" s="8" t="str">
        <f aca="false">IF($A1609="","",SUBSTITUTE(SUBSTITUTE(SUBSTITUTE($A1609&amp;"","~","~~"),"*","~*"),"?","~?"))</f>
        <v/>
      </c>
    </row>
    <row r="1610" customFormat="false" ht="15" hidden="false" customHeight="false" outlineLevel="0" collapsed="false">
      <c r="A1610" s="11"/>
      <c r="B1610" s="6"/>
      <c r="C1610" s="11"/>
      <c r="D1610" s="11"/>
      <c r="E1610" s="8" t="str">
        <f aca="false">IF($A1610="","",SUMIFS($C:$C,$A:$A,$H1610,$B:$B,"&gt;="&amp;INT($B1610),$B:$B,"&lt;"&amp;(INT($B1610)+1)))</f>
        <v/>
      </c>
      <c r="F1610" s="19" t="str">
        <f aca="false">IF($A1610="","",IF(ISNA(MATCH($H1610,Buffers!$AE:$AE,0)),"Not on Buffers",IF(NOT(ISNUMBER($B1610)),"Needs a date",IF(INT($B1610)&lt;PlanDate,"Past due",IF(INT($B1610)=PlanDate,"Due today",IF(AND(INDEX(Buffers!$L:$L,MATCH($H1610,Buffers!$AE:$AE,0))="Planned",$E1610&gt;0,INT($B1610)&lt;=PlanDate+ROUNDUP(IF(ISNUMBER(SpikeHorizon),SpikeHorizon,INDEX(Buffers!$D:$D,MATCH($H1610,Buffers!$AE:$AE,0))),0),$E1610&gt;=SpikePct*INDEX(Buffers!$P:$P,MATCH($H1610,Buffers!$AE:$AE,0))),"Spike","Not qualified"))))))</f>
        <v/>
      </c>
      <c r="G1610" s="8" t="str">
        <f aca="false">IF($A1610="","",IF(OR($F1610="Past due",$F1610="Due today",$F1610="Spike"),$C1610,0))</f>
        <v/>
      </c>
      <c r="H1610" s="8" t="str">
        <f aca="false">IF($A1610="","",SUBSTITUTE(SUBSTITUTE(SUBSTITUTE($A1610&amp;"","~","~~"),"*","~*"),"?","~?"))</f>
        <v/>
      </c>
    </row>
    <row r="1611" customFormat="false" ht="15" hidden="false" customHeight="false" outlineLevel="0" collapsed="false">
      <c r="A1611" s="11"/>
      <c r="B1611" s="6"/>
      <c r="C1611" s="11"/>
      <c r="D1611" s="11"/>
      <c r="E1611" s="8" t="str">
        <f aca="false">IF($A1611="","",SUMIFS($C:$C,$A:$A,$H1611,$B:$B,"&gt;="&amp;INT($B1611),$B:$B,"&lt;"&amp;(INT($B1611)+1)))</f>
        <v/>
      </c>
      <c r="F1611" s="19" t="str">
        <f aca="false">IF($A1611="","",IF(ISNA(MATCH($H1611,Buffers!$AE:$AE,0)),"Not on Buffers",IF(NOT(ISNUMBER($B1611)),"Needs a date",IF(INT($B1611)&lt;PlanDate,"Past due",IF(INT($B1611)=PlanDate,"Due today",IF(AND(INDEX(Buffers!$L:$L,MATCH($H1611,Buffers!$AE:$AE,0))="Planned",$E1611&gt;0,INT($B1611)&lt;=PlanDate+ROUNDUP(IF(ISNUMBER(SpikeHorizon),SpikeHorizon,INDEX(Buffers!$D:$D,MATCH($H1611,Buffers!$AE:$AE,0))),0),$E1611&gt;=SpikePct*INDEX(Buffers!$P:$P,MATCH($H1611,Buffers!$AE:$AE,0))),"Spike","Not qualified"))))))</f>
        <v/>
      </c>
      <c r="G1611" s="8" t="str">
        <f aca="false">IF($A1611="","",IF(OR($F1611="Past due",$F1611="Due today",$F1611="Spike"),$C1611,0))</f>
        <v/>
      </c>
      <c r="H1611" s="8" t="str">
        <f aca="false">IF($A1611="","",SUBSTITUTE(SUBSTITUTE(SUBSTITUTE($A1611&amp;"","~","~~"),"*","~*"),"?","~?"))</f>
        <v/>
      </c>
    </row>
    <row r="1612" customFormat="false" ht="15" hidden="false" customHeight="false" outlineLevel="0" collapsed="false">
      <c r="A1612" s="11"/>
      <c r="B1612" s="6"/>
      <c r="C1612" s="11"/>
      <c r="D1612" s="11"/>
      <c r="E1612" s="8" t="str">
        <f aca="false">IF($A1612="","",SUMIFS($C:$C,$A:$A,$H1612,$B:$B,"&gt;="&amp;INT($B1612),$B:$B,"&lt;"&amp;(INT($B1612)+1)))</f>
        <v/>
      </c>
      <c r="F1612" s="19" t="str">
        <f aca="false">IF($A1612="","",IF(ISNA(MATCH($H1612,Buffers!$AE:$AE,0)),"Not on Buffers",IF(NOT(ISNUMBER($B1612)),"Needs a date",IF(INT($B1612)&lt;PlanDate,"Past due",IF(INT($B1612)=PlanDate,"Due today",IF(AND(INDEX(Buffers!$L:$L,MATCH($H1612,Buffers!$AE:$AE,0))="Planned",$E1612&gt;0,INT($B1612)&lt;=PlanDate+ROUNDUP(IF(ISNUMBER(SpikeHorizon),SpikeHorizon,INDEX(Buffers!$D:$D,MATCH($H1612,Buffers!$AE:$AE,0))),0),$E1612&gt;=SpikePct*INDEX(Buffers!$P:$P,MATCH($H1612,Buffers!$AE:$AE,0))),"Spike","Not qualified"))))))</f>
        <v/>
      </c>
      <c r="G1612" s="8" t="str">
        <f aca="false">IF($A1612="","",IF(OR($F1612="Past due",$F1612="Due today",$F1612="Spike"),$C1612,0))</f>
        <v/>
      </c>
      <c r="H1612" s="8" t="str">
        <f aca="false">IF($A1612="","",SUBSTITUTE(SUBSTITUTE(SUBSTITUTE($A1612&amp;"","~","~~"),"*","~*"),"?","~?"))</f>
        <v/>
      </c>
    </row>
    <row r="1613" customFormat="false" ht="15" hidden="false" customHeight="false" outlineLevel="0" collapsed="false">
      <c r="A1613" s="11"/>
      <c r="B1613" s="6"/>
      <c r="C1613" s="11"/>
      <c r="D1613" s="11"/>
      <c r="E1613" s="8" t="str">
        <f aca="false">IF($A1613="","",SUMIFS($C:$C,$A:$A,$H1613,$B:$B,"&gt;="&amp;INT($B1613),$B:$B,"&lt;"&amp;(INT($B1613)+1)))</f>
        <v/>
      </c>
      <c r="F1613" s="19" t="str">
        <f aca="false">IF($A1613="","",IF(ISNA(MATCH($H1613,Buffers!$AE:$AE,0)),"Not on Buffers",IF(NOT(ISNUMBER($B1613)),"Needs a date",IF(INT($B1613)&lt;PlanDate,"Past due",IF(INT($B1613)=PlanDate,"Due today",IF(AND(INDEX(Buffers!$L:$L,MATCH($H1613,Buffers!$AE:$AE,0))="Planned",$E1613&gt;0,INT($B1613)&lt;=PlanDate+ROUNDUP(IF(ISNUMBER(SpikeHorizon),SpikeHorizon,INDEX(Buffers!$D:$D,MATCH($H1613,Buffers!$AE:$AE,0))),0),$E1613&gt;=SpikePct*INDEX(Buffers!$P:$P,MATCH($H1613,Buffers!$AE:$AE,0))),"Spike","Not qualified"))))))</f>
        <v/>
      </c>
      <c r="G1613" s="8" t="str">
        <f aca="false">IF($A1613="","",IF(OR($F1613="Past due",$F1613="Due today",$F1613="Spike"),$C1613,0))</f>
        <v/>
      </c>
      <c r="H1613" s="8" t="str">
        <f aca="false">IF($A1613="","",SUBSTITUTE(SUBSTITUTE(SUBSTITUTE($A1613&amp;"","~","~~"),"*","~*"),"?","~?"))</f>
        <v/>
      </c>
    </row>
    <row r="1614" customFormat="false" ht="15" hidden="false" customHeight="false" outlineLevel="0" collapsed="false">
      <c r="A1614" s="11"/>
      <c r="B1614" s="6"/>
      <c r="C1614" s="11"/>
      <c r="D1614" s="11"/>
      <c r="E1614" s="8" t="str">
        <f aca="false">IF($A1614="","",SUMIFS($C:$C,$A:$A,$H1614,$B:$B,"&gt;="&amp;INT($B1614),$B:$B,"&lt;"&amp;(INT($B1614)+1)))</f>
        <v/>
      </c>
      <c r="F1614" s="19" t="str">
        <f aca="false">IF($A1614="","",IF(ISNA(MATCH($H1614,Buffers!$AE:$AE,0)),"Not on Buffers",IF(NOT(ISNUMBER($B1614)),"Needs a date",IF(INT($B1614)&lt;PlanDate,"Past due",IF(INT($B1614)=PlanDate,"Due today",IF(AND(INDEX(Buffers!$L:$L,MATCH($H1614,Buffers!$AE:$AE,0))="Planned",$E1614&gt;0,INT($B1614)&lt;=PlanDate+ROUNDUP(IF(ISNUMBER(SpikeHorizon),SpikeHorizon,INDEX(Buffers!$D:$D,MATCH($H1614,Buffers!$AE:$AE,0))),0),$E1614&gt;=SpikePct*INDEX(Buffers!$P:$P,MATCH($H1614,Buffers!$AE:$AE,0))),"Spike","Not qualified"))))))</f>
        <v/>
      </c>
      <c r="G1614" s="8" t="str">
        <f aca="false">IF($A1614="","",IF(OR($F1614="Past due",$F1614="Due today",$F1614="Spike"),$C1614,0))</f>
        <v/>
      </c>
      <c r="H1614" s="8" t="str">
        <f aca="false">IF($A1614="","",SUBSTITUTE(SUBSTITUTE(SUBSTITUTE($A1614&amp;"","~","~~"),"*","~*"),"?","~?"))</f>
        <v/>
      </c>
    </row>
    <row r="1615" customFormat="false" ht="15" hidden="false" customHeight="false" outlineLevel="0" collapsed="false">
      <c r="A1615" s="11"/>
      <c r="B1615" s="6"/>
      <c r="C1615" s="11"/>
      <c r="D1615" s="11"/>
      <c r="E1615" s="8" t="str">
        <f aca="false">IF($A1615="","",SUMIFS($C:$C,$A:$A,$H1615,$B:$B,"&gt;="&amp;INT($B1615),$B:$B,"&lt;"&amp;(INT($B1615)+1)))</f>
        <v/>
      </c>
      <c r="F1615" s="19" t="str">
        <f aca="false">IF($A1615="","",IF(ISNA(MATCH($H1615,Buffers!$AE:$AE,0)),"Not on Buffers",IF(NOT(ISNUMBER($B1615)),"Needs a date",IF(INT($B1615)&lt;PlanDate,"Past due",IF(INT($B1615)=PlanDate,"Due today",IF(AND(INDEX(Buffers!$L:$L,MATCH($H1615,Buffers!$AE:$AE,0))="Planned",$E1615&gt;0,INT($B1615)&lt;=PlanDate+ROUNDUP(IF(ISNUMBER(SpikeHorizon),SpikeHorizon,INDEX(Buffers!$D:$D,MATCH($H1615,Buffers!$AE:$AE,0))),0),$E1615&gt;=SpikePct*INDEX(Buffers!$P:$P,MATCH($H1615,Buffers!$AE:$AE,0))),"Spike","Not qualified"))))))</f>
        <v/>
      </c>
      <c r="G1615" s="8" t="str">
        <f aca="false">IF($A1615="","",IF(OR($F1615="Past due",$F1615="Due today",$F1615="Spike"),$C1615,0))</f>
        <v/>
      </c>
      <c r="H1615" s="8" t="str">
        <f aca="false">IF($A1615="","",SUBSTITUTE(SUBSTITUTE(SUBSTITUTE($A1615&amp;"","~","~~"),"*","~*"),"?","~?"))</f>
        <v/>
      </c>
    </row>
    <row r="1616" customFormat="false" ht="15" hidden="false" customHeight="false" outlineLevel="0" collapsed="false">
      <c r="A1616" s="11"/>
      <c r="B1616" s="6"/>
      <c r="C1616" s="11"/>
      <c r="D1616" s="11"/>
      <c r="E1616" s="8" t="str">
        <f aca="false">IF($A1616="","",SUMIFS($C:$C,$A:$A,$H1616,$B:$B,"&gt;="&amp;INT($B1616),$B:$B,"&lt;"&amp;(INT($B1616)+1)))</f>
        <v/>
      </c>
      <c r="F1616" s="19" t="str">
        <f aca="false">IF($A1616="","",IF(ISNA(MATCH($H1616,Buffers!$AE:$AE,0)),"Not on Buffers",IF(NOT(ISNUMBER($B1616)),"Needs a date",IF(INT($B1616)&lt;PlanDate,"Past due",IF(INT($B1616)=PlanDate,"Due today",IF(AND(INDEX(Buffers!$L:$L,MATCH($H1616,Buffers!$AE:$AE,0))="Planned",$E1616&gt;0,INT($B1616)&lt;=PlanDate+ROUNDUP(IF(ISNUMBER(SpikeHorizon),SpikeHorizon,INDEX(Buffers!$D:$D,MATCH($H1616,Buffers!$AE:$AE,0))),0),$E1616&gt;=SpikePct*INDEX(Buffers!$P:$P,MATCH($H1616,Buffers!$AE:$AE,0))),"Spike","Not qualified"))))))</f>
        <v/>
      </c>
      <c r="G1616" s="8" t="str">
        <f aca="false">IF($A1616="","",IF(OR($F1616="Past due",$F1616="Due today",$F1616="Spike"),$C1616,0))</f>
        <v/>
      </c>
      <c r="H1616" s="8" t="str">
        <f aca="false">IF($A1616="","",SUBSTITUTE(SUBSTITUTE(SUBSTITUTE($A1616&amp;"","~","~~"),"*","~*"),"?","~?"))</f>
        <v/>
      </c>
    </row>
    <row r="1617" customFormat="false" ht="15" hidden="false" customHeight="false" outlineLevel="0" collapsed="false">
      <c r="A1617" s="11"/>
      <c r="B1617" s="6"/>
      <c r="C1617" s="11"/>
      <c r="D1617" s="11"/>
      <c r="E1617" s="8" t="str">
        <f aca="false">IF($A1617="","",SUMIFS($C:$C,$A:$A,$H1617,$B:$B,"&gt;="&amp;INT($B1617),$B:$B,"&lt;"&amp;(INT($B1617)+1)))</f>
        <v/>
      </c>
      <c r="F1617" s="19" t="str">
        <f aca="false">IF($A1617="","",IF(ISNA(MATCH($H1617,Buffers!$AE:$AE,0)),"Not on Buffers",IF(NOT(ISNUMBER($B1617)),"Needs a date",IF(INT($B1617)&lt;PlanDate,"Past due",IF(INT($B1617)=PlanDate,"Due today",IF(AND(INDEX(Buffers!$L:$L,MATCH($H1617,Buffers!$AE:$AE,0))="Planned",$E1617&gt;0,INT($B1617)&lt;=PlanDate+ROUNDUP(IF(ISNUMBER(SpikeHorizon),SpikeHorizon,INDEX(Buffers!$D:$D,MATCH($H1617,Buffers!$AE:$AE,0))),0),$E1617&gt;=SpikePct*INDEX(Buffers!$P:$P,MATCH($H1617,Buffers!$AE:$AE,0))),"Spike","Not qualified"))))))</f>
        <v/>
      </c>
      <c r="G1617" s="8" t="str">
        <f aca="false">IF($A1617="","",IF(OR($F1617="Past due",$F1617="Due today",$F1617="Spike"),$C1617,0))</f>
        <v/>
      </c>
      <c r="H1617" s="8" t="str">
        <f aca="false">IF($A1617="","",SUBSTITUTE(SUBSTITUTE(SUBSTITUTE($A1617&amp;"","~","~~"),"*","~*"),"?","~?"))</f>
        <v/>
      </c>
    </row>
    <row r="1618" customFormat="false" ht="15" hidden="false" customHeight="false" outlineLevel="0" collapsed="false">
      <c r="A1618" s="11"/>
      <c r="B1618" s="6"/>
      <c r="C1618" s="11"/>
      <c r="D1618" s="11"/>
      <c r="E1618" s="8" t="str">
        <f aca="false">IF($A1618="","",SUMIFS($C:$C,$A:$A,$H1618,$B:$B,"&gt;="&amp;INT($B1618),$B:$B,"&lt;"&amp;(INT($B1618)+1)))</f>
        <v/>
      </c>
      <c r="F1618" s="19" t="str">
        <f aca="false">IF($A1618="","",IF(ISNA(MATCH($H1618,Buffers!$AE:$AE,0)),"Not on Buffers",IF(NOT(ISNUMBER($B1618)),"Needs a date",IF(INT($B1618)&lt;PlanDate,"Past due",IF(INT($B1618)=PlanDate,"Due today",IF(AND(INDEX(Buffers!$L:$L,MATCH($H1618,Buffers!$AE:$AE,0))="Planned",$E1618&gt;0,INT($B1618)&lt;=PlanDate+ROUNDUP(IF(ISNUMBER(SpikeHorizon),SpikeHorizon,INDEX(Buffers!$D:$D,MATCH($H1618,Buffers!$AE:$AE,0))),0),$E1618&gt;=SpikePct*INDEX(Buffers!$P:$P,MATCH($H1618,Buffers!$AE:$AE,0))),"Spike","Not qualified"))))))</f>
        <v/>
      </c>
      <c r="G1618" s="8" t="str">
        <f aca="false">IF($A1618="","",IF(OR($F1618="Past due",$F1618="Due today",$F1618="Spike"),$C1618,0))</f>
        <v/>
      </c>
      <c r="H1618" s="8" t="str">
        <f aca="false">IF($A1618="","",SUBSTITUTE(SUBSTITUTE(SUBSTITUTE($A1618&amp;"","~","~~"),"*","~*"),"?","~?"))</f>
        <v/>
      </c>
    </row>
    <row r="1619" customFormat="false" ht="15" hidden="false" customHeight="false" outlineLevel="0" collapsed="false">
      <c r="A1619" s="11"/>
      <c r="B1619" s="6"/>
      <c r="C1619" s="11"/>
      <c r="D1619" s="11"/>
      <c r="E1619" s="8" t="str">
        <f aca="false">IF($A1619="","",SUMIFS($C:$C,$A:$A,$H1619,$B:$B,"&gt;="&amp;INT($B1619),$B:$B,"&lt;"&amp;(INT($B1619)+1)))</f>
        <v/>
      </c>
      <c r="F1619" s="19" t="str">
        <f aca="false">IF($A1619="","",IF(ISNA(MATCH($H1619,Buffers!$AE:$AE,0)),"Not on Buffers",IF(NOT(ISNUMBER($B1619)),"Needs a date",IF(INT($B1619)&lt;PlanDate,"Past due",IF(INT($B1619)=PlanDate,"Due today",IF(AND(INDEX(Buffers!$L:$L,MATCH($H1619,Buffers!$AE:$AE,0))="Planned",$E1619&gt;0,INT($B1619)&lt;=PlanDate+ROUNDUP(IF(ISNUMBER(SpikeHorizon),SpikeHorizon,INDEX(Buffers!$D:$D,MATCH($H1619,Buffers!$AE:$AE,0))),0),$E1619&gt;=SpikePct*INDEX(Buffers!$P:$P,MATCH($H1619,Buffers!$AE:$AE,0))),"Spike","Not qualified"))))))</f>
        <v/>
      </c>
      <c r="G1619" s="8" t="str">
        <f aca="false">IF($A1619="","",IF(OR($F1619="Past due",$F1619="Due today",$F1619="Spike"),$C1619,0))</f>
        <v/>
      </c>
      <c r="H1619" s="8" t="str">
        <f aca="false">IF($A1619="","",SUBSTITUTE(SUBSTITUTE(SUBSTITUTE($A1619&amp;"","~","~~"),"*","~*"),"?","~?"))</f>
        <v/>
      </c>
    </row>
    <row r="1620" customFormat="false" ht="15" hidden="false" customHeight="false" outlineLevel="0" collapsed="false">
      <c r="A1620" s="11"/>
      <c r="B1620" s="6"/>
      <c r="C1620" s="11"/>
      <c r="D1620" s="11"/>
      <c r="E1620" s="8" t="str">
        <f aca="false">IF($A1620="","",SUMIFS($C:$C,$A:$A,$H1620,$B:$B,"&gt;="&amp;INT($B1620),$B:$B,"&lt;"&amp;(INT($B1620)+1)))</f>
        <v/>
      </c>
      <c r="F1620" s="19" t="str">
        <f aca="false">IF($A1620="","",IF(ISNA(MATCH($H1620,Buffers!$AE:$AE,0)),"Not on Buffers",IF(NOT(ISNUMBER($B1620)),"Needs a date",IF(INT($B1620)&lt;PlanDate,"Past due",IF(INT($B1620)=PlanDate,"Due today",IF(AND(INDEX(Buffers!$L:$L,MATCH($H1620,Buffers!$AE:$AE,0))="Planned",$E1620&gt;0,INT($B1620)&lt;=PlanDate+ROUNDUP(IF(ISNUMBER(SpikeHorizon),SpikeHorizon,INDEX(Buffers!$D:$D,MATCH($H1620,Buffers!$AE:$AE,0))),0),$E1620&gt;=SpikePct*INDEX(Buffers!$P:$P,MATCH($H1620,Buffers!$AE:$AE,0))),"Spike","Not qualified"))))))</f>
        <v/>
      </c>
      <c r="G1620" s="8" t="str">
        <f aca="false">IF($A1620="","",IF(OR($F1620="Past due",$F1620="Due today",$F1620="Spike"),$C1620,0))</f>
        <v/>
      </c>
      <c r="H1620" s="8" t="str">
        <f aca="false">IF($A1620="","",SUBSTITUTE(SUBSTITUTE(SUBSTITUTE($A1620&amp;"","~","~~"),"*","~*"),"?","~?"))</f>
        <v/>
      </c>
    </row>
    <row r="1621" customFormat="false" ht="15" hidden="false" customHeight="false" outlineLevel="0" collapsed="false">
      <c r="A1621" s="11"/>
      <c r="B1621" s="6"/>
      <c r="C1621" s="11"/>
      <c r="D1621" s="11"/>
      <c r="E1621" s="8" t="str">
        <f aca="false">IF($A1621="","",SUMIFS($C:$C,$A:$A,$H1621,$B:$B,"&gt;="&amp;INT($B1621),$B:$B,"&lt;"&amp;(INT($B1621)+1)))</f>
        <v/>
      </c>
      <c r="F1621" s="19" t="str">
        <f aca="false">IF($A1621="","",IF(ISNA(MATCH($H1621,Buffers!$AE:$AE,0)),"Not on Buffers",IF(NOT(ISNUMBER($B1621)),"Needs a date",IF(INT($B1621)&lt;PlanDate,"Past due",IF(INT($B1621)=PlanDate,"Due today",IF(AND(INDEX(Buffers!$L:$L,MATCH($H1621,Buffers!$AE:$AE,0))="Planned",$E1621&gt;0,INT($B1621)&lt;=PlanDate+ROUNDUP(IF(ISNUMBER(SpikeHorizon),SpikeHorizon,INDEX(Buffers!$D:$D,MATCH($H1621,Buffers!$AE:$AE,0))),0),$E1621&gt;=SpikePct*INDEX(Buffers!$P:$P,MATCH($H1621,Buffers!$AE:$AE,0))),"Spike","Not qualified"))))))</f>
        <v/>
      </c>
      <c r="G1621" s="8" t="str">
        <f aca="false">IF($A1621="","",IF(OR($F1621="Past due",$F1621="Due today",$F1621="Spike"),$C1621,0))</f>
        <v/>
      </c>
      <c r="H1621" s="8" t="str">
        <f aca="false">IF($A1621="","",SUBSTITUTE(SUBSTITUTE(SUBSTITUTE($A1621&amp;"","~","~~"),"*","~*"),"?","~?"))</f>
        <v/>
      </c>
    </row>
    <row r="1622" customFormat="false" ht="15" hidden="false" customHeight="false" outlineLevel="0" collapsed="false">
      <c r="A1622" s="11"/>
      <c r="B1622" s="6"/>
      <c r="C1622" s="11"/>
      <c r="D1622" s="11"/>
      <c r="E1622" s="8" t="str">
        <f aca="false">IF($A1622="","",SUMIFS($C:$C,$A:$A,$H1622,$B:$B,"&gt;="&amp;INT($B1622),$B:$B,"&lt;"&amp;(INT($B1622)+1)))</f>
        <v/>
      </c>
      <c r="F1622" s="19" t="str">
        <f aca="false">IF($A1622="","",IF(ISNA(MATCH($H1622,Buffers!$AE:$AE,0)),"Not on Buffers",IF(NOT(ISNUMBER($B1622)),"Needs a date",IF(INT($B1622)&lt;PlanDate,"Past due",IF(INT($B1622)=PlanDate,"Due today",IF(AND(INDEX(Buffers!$L:$L,MATCH($H1622,Buffers!$AE:$AE,0))="Planned",$E1622&gt;0,INT($B1622)&lt;=PlanDate+ROUNDUP(IF(ISNUMBER(SpikeHorizon),SpikeHorizon,INDEX(Buffers!$D:$D,MATCH($H1622,Buffers!$AE:$AE,0))),0),$E1622&gt;=SpikePct*INDEX(Buffers!$P:$P,MATCH($H1622,Buffers!$AE:$AE,0))),"Spike","Not qualified"))))))</f>
        <v/>
      </c>
      <c r="G1622" s="8" t="str">
        <f aca="false">IF($A1622="","",IF(OR($F1622="Past due",$F1622="Due today",$F1622="Spike"),$C1622,0))</f>
        <v/>
      </c>
      <c r="H1622" s="8" t="str">
        <f aca="false">IF($A1622="","",SUBSTITUTE(SUBSTITUTE(SUBSTITUTE($A1622&amp;"","~","~~"),"*","~*"),"?","~?"))</f>
        <v/>
      </c>
    </row>
    <row r="1623" customFormat="false" ht="15" hidden="false" customHeight="false" outlineLevel="0" collapsed="false">
      <c r="A1623" s="11"/>
      <c r="B1623" s="6"/>
      <c r="C1623" s="11"/>
      <c r="D1623" s="11"/>
      <c r="E1623" s="8" t="str">
        <f aca="false">IF($A1623="","",SUMIFS($C:$C,$A:$A,$H1623,$B:$B,"&gt;="&amp;INT($B1623),$B:$B,"&lt;"&amp;(INT($B1623)+1)))</f>
        <v/>
      </c>
      <c r="F1623" s="19" t="str">
        <f aca="false">IF($A1623="","",IF(ISNA(MATCH($H1623,Buffers!$AE:$AE,0)),"Not on Buffers",IF(NOT(ISNUMBER($B1623)),"Needs a date",IF(INT($B1623)&lt;PlanDate,"Past due",IF(INT($B1623)=PlanDate,"Due today",IF(AND(INDEX(Buffers!$L:$L,MATCH($H1623,Buffers!$AE:$AE,0))="Planned",$E1623&gt;0,INT($B1623)&lt;=PlanDate+ROUNDUP(IF(ISNUMBER(SpikeHorizon),SpikeHorizon,INDEX(Buffers!$D:$D,MATCH($H1623,Buffers!$AE:$AE,0))),0),$E1623&gt;=SpikePct*INDEX(Buffers!$P:$P,MATCH($H1623,Buffers!$AE:$AE,0))),"Spike","Not qualified"))))))</f>
        <v/>
      </c>
      <c r="G1623" s="8" t="str">
        <f aca="false">IF($A1623="","",IF(OR($F1623="Past due",$F1623="Due today",$F1623="Spike"),$C1623,0))</f>
        <v/>
      </c>
      <c r="H1623" s="8" t="str">
        <f aca="false">IF($A1623="","",SUBSTITUTE(SUBSTITUTE(SUBSTITUTE($A1623&amp;"","~","~~"),"*","~*"),"?","~?"))</f>
        <v/>
      </c>
    </row>
    <row r="1624" customFormat="false" ht="15" hidden="false" customHeight="false" outlineLevel="0" collapsed="false">
      <c r="A1624" s="11"/>
      <c r="B1624" s="6"/>
      <c r="C1624" s="11"/>
      <c r="D1624" s="11"/>
      <c r="E1624" s="8" t="str">
        <f aca="false">IF($A1624="","",SUMIFS($C:$C,$A:$A,$H1624,$B:$B,"&gt;="&amp;INT($B1624),$B:$B,"&lt;"&amp;(INT($B1624)+1)))</f>
        <v/>
      </c>
      <c r="F1624" s="19" t="str">
        <f aca="false">IF($A1624="","",IF(ISNA(MATCH($H1624,Buffers!$AE:$AE,0)),"Not on Buffers",IF(NOT(ISNUMBER($B1624)),"Needs a date",IF(INT($B1624)&lt;PlanDate,"Past due",IF(INT($B1624)=PlanDate,"Due today",IF(AND(INDEX(Buffers!$L:$L,MATCH($H1624,Buffers!$AE:$AE,0))="Planned",$E1624&gt;0,INT($B1624)&lt;=PlanDate+ROUNDUP(IF(ISNUMBER(SpikeHorizon),SpikeHorizon,INDEX(Buffers!$D:$D,MATCH($H1624,Buffers!$AE:$AE,0))),0),$E1624&gt;=SpikePct*INDEX(Buffers!$P:$P,MATCH($H1624,Buffers!$AE:$AE,0))),"Spike","Not qualified"))))))</f>
        <v/>
      </c>
      <c r="G1624" s="8" t="str">
        <f aca="false">IF($A1624="","",IF(OR($F1624="Past due",$F1624="Due today",$F1624="Spike"),$C1624,0))</f>
        <v/>
      </c>
      <c r="H1624" s="8" t="str">
        <f aca="false">IF($A1624="","",SUBSTITUTE(SUBSTITUTE(SUBSTITUTE($A1624&amp;"","~","~~"),"*","~*"),"?","~?"))</f>
        <v/>
      </c>
    </row>
    <row r="1625" customFormat="false" ht="15" hidden="false" customHeight="false" outlineLevel="0" collapsed="false">
      <c r="A1625" s="11"/>
      <c r="B1625" s="6"/>
      <c r="C1625" s="11"/>
      <c r="D1625" s="11"/>
      <c r="E1625" s="8" t="str">
        <f aca="false">IF($A1625="","",SUMIFS($C:$C,$A:$A,$H1625,$B:$B,"&gt;="&amp;INT($B1625),$B:$B,"&lt;"&amp;(INT($B1625)+1)))</f>
        <v/>
      </c>
      <c r="F1625" s="19" t="str">
        <f aca="false">IF($A1625="","",IF(ISNA(MATCH($H1625,Buffers!$AE:$AE,0)),"Not on Buffers",IF(NOT(ISNUMBER($B1625)),"Needs a date",IF(INT($B1625)&lt;PlanDate,"Past due",IF(INT($B1625)=PlanDate,"Due today",IF(AND(INDEX(Buffers!$L:$L,MATCH($H1625,Buffers!$AE:$AE,0))="Planned",$E1625&gt;0,INT($B1625)&lt;=PlanDate+ROUNDUP(IF(ISNUMBER(SpikeHorizon),SpikeHorizon,INDEX(Buffers!$D:$D,MATCH($H1625,Buffers!$AE:$AE,0))),0),$E1625&gt;=SpikePct*INDEX(Buffers!$P:$P,MATCH($H1625,Buffers!$AE:$AE,0))),"Spike","Not qualified"))))))</f>
        <v/>
      </c>
      <c r="G1625" s="8" t="str">
        <f aca="false">IF($A1625="","",IF(OR($F1625="Past due",$F1625="Due today",$F1625="Spike"),$C1625,0))</f>
        <v/>
      </c>
      <c r="H1625" s="8" t="str">
        <f aca="false">IF($A1625="","",SUBSTITUTE(SUBSTITUTE(SUBSTITUTE($A1625&amp;"","~","~~"),"*","~*"),"?","~?"))</f>
        <v/>
      </c>
    </row>
    <row r="1626" customFormat="false" ht="15" hidden="false" customHeight="false" outlineLevel="0" collapsed="false">
      <c r="A1626" s="11"/>
      <c r="B1626" s="6"/>
      <c r="C1626" s="11"/>
      <c r="D1626" s="11"/>
      <c r="E1626" s="8" t="str">
        <f aca="false">IF($A1626="","",SUMIFS($C:$C,$A:$A,$H1626,$B:$B,"&gt;="&amp;INT($B1626),$B:$B,"&lt;"&amp;(INT($B1626)+1)))</f>
        <v/>
      </c>
      <c r="F1626" s="19" t="str">
        <f aca="false">IF($A1626="","",IF(ISNA(MATCH($H1626,Buffers!$AE:$AE,0)),"Not on Buffers",IF(NOT(ISNUMBER($B1626)),"Needs a date",IF(INT($B1626)&lt;PlanDate,"Past due",IF(INT($B1626)=PlanDate,"Due today",IF(AND(INDEX(Buffers!$L:$L,MATCH($H1626,Buffers!$AE:$AE,0))="Planned",$E1626&gt;0,INT($B1626)&lt;=PlanDate+ROUNDUP(IF(ISNUMBER(SpikeHorizon),SpikeHorizon,INDEX(Buffers!$D:$D,MATCH($H1626,Buffers!$AE:$AE,0))),0),$E1626&gt;=SpikePct*INDEX(Buffers!$P:$P,MATCH($H1626,Buffers!$AE:$AE,0))),"Spike","Not qualified"))))))</f>
        <v/>
      </c>
      <c r="G1626" s="8" t="str">
        <f aca="false">IF($A1626="","",IF(OR($F1626="Past due",$F1626="Due today",$F1626="Spike"),$C1626,0))</f>
        <v/>
      </c>
      <c r="H1626" s="8" t="str">
        <f aca="false">IF($A1626="","",SUBSTITUTE(SUBSTITUTE(SUBSTITUTE($A1626&amp;"","~","~~"),"*","~*"),"?","~?"))</f>
        <v/>
      </c>
    </row>
    <row r="1627" customFormat="false" ht="15" hidden="false" customHeight="false" outlineLevel="0" collapsed="false">
      <c r="A1627" s="11"/>
      <c r="B1627" s="6"/>
      <c r="C1627" s="11"/>
      <c r="D1627" s="11"/>
      <c r="E1627" s="8" t="str">
        <f aca="false">IF($A1627="","",SUMIFS($C:$C,$A:$A,$H1627,$B:$B,"&gt;="&amp;INT($B1627),$B:$B,"&lt;"&amp;(INT($B1627)+1)))</f>
        <v/>
      </c>
      <c r="F1627" s="19" t="str">
        <f aca="false">IF($A1627="","",IF(ISNA(MATCH($H1627,Buffers!$AE:$AE,0)),"Not on Buffers",IF(NOT(ISNUMBER($B1627)),"Needs a date",IF(INT($B1627)&lt;PlanDate,"Past due",IF(INT($B1627)=PlanDate,"Due today",IF(AND(INDEX(Buffers!$L:$L,MATCH($H1627,Buffers!$AE:$AE,0))="Planned",$E1627&gt;0,INT($B1627)&lt;=PlanDate+ROUNDUP(IF(ISNUMBER(SpikeHorizon),SpikeHorizon,INDEX(Buffers!$D:$D,MATCH($H1627,Buffers!$AE:$AE,0))),0),$E1627&gt;=SpikePct*INDEX(Buffers!$P:$P,MATCH($H1627,Buffers!$AE:$AE,0))),"Spike","Not qualified"))))))</f>
        <v/>
      </c>
      <c r="G1627" s="8" t="str">
        <f aca="false">IF($A1627="","",IF(OR($F1627="Past due",$F1627="Due today",$F1627="Spike"),$C1627,0))</f>
        <v/>
      </c>
      <c r="H1627" s="8" t="str">
        <f aca="false">IF($A1627="","",SUBSTITUTE(SUBSTITUTE(SUBSTITUTE($A1627&amp;"","~","~~"),"*","~*"),"?","~?"))</f>
        <v/>
      </c>
    </row>
    <row r="1628" customFormat="false" ht="15" hidden="false" customHeight="false" outlineLevel="0" collapsed="false">
      <c r="A1628" s="11"/>
      <c r="B1628" s="6"/>
      <c r="C1628" s="11"/>
      <c r="D1628" s="11"/>
      <c r="E1628" s="8" t="str">
        <f aca="false">IF($A1628="","",SUMIFS($C:$C,$A:$A,$H1628,$B:$B,"&gt;="&amp;INT($B1628),$B:$B,"&lt;"&amp;(INT($B1628)+1)))</f>
        <v/>
      </c>
      <c r="F1628" s="19" t="str">
        <f aca="false">IF($A1628="","",IF(ISNA(MATCH($H1628,Buffers!$AE:$AE,0)),"Not on Buffers",IF(NOT(ISNUMBER($B1628)),"Needs a date",IF(INT($B1628)&lt;PlanDate,"Past due",IF(INT($B1628)=PlanDate,"Due today",IF(AND(INDEX(Buffers!$L:$L,MATCH($H1628,Buffers!$AE:$AE,0))="Planned",$E1628&gt;0,INT($B1628)&lt;=PlanDate+ROUNDUP(IF(ISNUMBER(SpikeHorizon),SpikeHorizon,INDEX(Buffers!$D:$D,MATCH($H1628,Buffers!$AE:$AE,0))),0),$E1628&gt;=SpikePct*INDEX(Buffers!$P:$P,MATCH($H1628,Buffers!$AE:$AE,0))),"Spike","Not qualified"))))))</f>
        <v/>
      </c>
      <c r="G1628" s="8" t="str">
        <f aca="false">IF($A1628="","",IF(OR($F1628="Past due",$F1628="Due today",$F1628="Spike"),$C1628,0))</f>
        <v/>
      </c>
      <c r="H1628" s="8" t="str">
        <f aca="false">IF($A1628="","",SUBSTITUTE(SUBSTITUTE(SUBSTITUTE($A1628&amp;"","~","~~"),"*","~*"),"?","~?"))</f>
        <v/>
      </c>
    </row>
    <row r="1629" customFormat="false" ht="15" hidden="false" customHeight="false" outlineLevel="0" collapsed="false">
      <c r="A1629" s="11"/>
      <c r="B1629" s="6"/>
      <c r="C1629" s="11"/>
      <c r="D1629" s="11"/>
      <c r="E1629" s="8" t="str">
        <f aca="false">IF($A1629="","",SUMIFS($C:$C,$A:$A,$H1629,$B:$B,"&gt;="&amp;INT($B1629),$B:$B,"&lt;"&amp;(INT($B1629)+1)))</f>
        <v/>
      </c>
      <c r="F1629" s="19" t="str">
        <f aca="false">IF($A1629="","",IF(ISNA(MATCH($H1629,Buffers!$AE:$AE,0)),"Not on Buffers",IF(NOT(ISNUMBER($B1629)),"Needs a date",IF(INT($B1629)&lt;PlanDate,"Past due",IF(INT($B1629)=PlanDate,"Due today",IF(AND(INDEX(Buffers!$L:$L,MATCH($H1629,Buffers!$AE:$AE,0))="Planned",$E1629&gt;0,INT($B1629)&lt;=PlanDate+ROUNDUP(IF(ISNUMBER(SpikeHorizon),SpikeHorizon,INDEX(Buffers!$D:$D,MATCH($H1629,Buffers!$AE:$AE,0))),0),$E1629&gt;=SpikePct*INDEX(Buffers!$P:$P,MATCH($H1629,Buffers!$AE:$AE,0))),"Spike","Not qualified"))))))</f>
        <v/>
      </c>
      <c r="G1629" s="8" t="str">
        <f aca="false">IF($A1629="","",IF(OR($F1629="Past due",$F1629="Due today",$F1629="Spike"),$C1629,0))</f>
        <v/>
      </c>
      <c r="H1629" s="8" t="str">
        <f aca="false">IF($A1629="","",SUBSTITUTE(SUBSTITUTE(SUBSTITUTE($A1629&amp;"","~","~~"),"*","~*"),"?","~?"))</f>
        <v/>
      </c>
    </row>
    <row r="1630" customFormat="false" ht="15" hidden="false" customHeight="false" outlineLevel="0" collapsed="false">
      <c r="A1630" s="11"/>
      <c r="B1630" s="6"/>
      <c r="C1630" s="11"/>
      <c r="D1630" s="11"/>
      <c r="E1630" s="8" t="str">
        <f aca="false">IF($A1630="","",SUMIFS($C:$C,$A:$A,$H1630,$B:$B,"&gt;="&amp;INT($B1630),$B:$B,"&lt;"&amp;(INT($B1630)+1)))</f>
        <v/>
      </c>
      <c r="F1630" s="19" t="str">
        <f aca="false">IF($A1630="","",IF(ISNA(MATCH($H1630,Buffers!$AE:$AE,0)),"Not on Buffers",IF(NOT(ISNUMBER($B1630)),"Needs a date",IF(INT($B1630)&lt;PlanDate,"Past due",IF(INT($B1630)=PlanDate,"Due today",IF(AND(INDEX(Buffers!$L:$L,MATCH($H1630,Buffers!$AE:$AE,0))="Planned",$E1630&gt;0,INT($B1630)&lt;=PlanDate+ROUNDUP(IF(ISNUMBER(SpikeHorizon),SpikeHorizon,INDEX(Buffers!$D:$D,MATCH($H1630,Buffers!$AE:$AE,0))),0),$E1630&gt;=SpikePct*INDEX(Buffers!$P:$P,MATCH($H1630,Buffers!$AE:$AE,0))),"Spike","Not qualified"))))))</f>
        <v/>
      </c>
      <c r="G1630" s="8" t="str">
        <f aca="false">IF($A1630="","",IF(OR($F1630="Past due",$F1630="Due today",$F1630="Spike"),$C1630,0))</f>
        <v/>
      </c>
      <c r="H1630" s="8" t="str">
        <f aca="false">IF($A1630="","",SUBSTITUTE(SUBSTITUTE(SUBSTITUTE($A1630&amp;"","~","~~"),"*","~*"),"?","~?"))</f>
        <v/>
      </c>
    </row>
    <row r="1631" customFormat="false" ht="15" hidden="false" customHeight="false" outlineLevel="0" collapsed="false">
      <c r="A1631" s="11"/>
      <c r="B1631" s="6"/>
      <c r="C1631" s="11"/>
      <c r="D1631" s="11"/>
      <c r="E1631" s="8" t="str">
        <f aca="false">IF($A1631="","",SUMIFS($C:$C,$A:$A,$H1631,$B:$B,"&gt;="&amp;INT($B1631),$B:$B,"&lt;"&amp;(INT($B1631)+1)))</f>
        <v/>
      </c>
      <c r="F1631" s="19" t="str">
        <f aca="false">IF($A1631="","",IF(ISNA(MATCH($H1631,Buffers!$AE:$AE,0)),"Not on Buffers",IF(NOT(ISNUMBER($B1631)),"Needs a date",IF(INT($B1631)&lt;PlanDate,"Past due",IF(INT($B1631)=PlanDate,"Due today",IF(AND(INDEX(Buffers!$L:$L,MATCH($H1631,Buffers!$AE:$AE,0))="Planned",$E1631&gt;0,INT($B1631)&lt;=PlanDate+ROUNDUP(IF(ISNUMBER(SpikeHorizon),SpikeHorizon,INDEX(Buffers!$D:$D,MATCH($H1631,Buffers!$AE:$AE,0))),0),$E1631&gt;=SpikePct*INDEX(Buffers!$P:$P,MATCH($H1631,Buffers!$AE:$AE,0))),"Spike","Not qualified"))))))</f>
        <v/>
      </c>
      <c r="G1631" s="8" t="str">
        <f aca="false">IF($A1631="","",IF(OR($F1631="Past due",$F1631="Due today",$F1631="Spike"),$C1631,0))</f>
        <v/>
      </c>
      <c r="H1631" s="8" t="str">
        <f aca="false">IF($A1631="","",SUBSTITUTE(SUBSTITUTE(SUBSTITUTE($A1631&amp;"","~","~~"),"*","~*"),"?","~?"))</f>
        <v/>
      </c>
    </row>
    <row r="1632" customFormat="false" ht="15" hidden="false" customHeight="false" outlineLevel="0" collapsed="false">
      <c r="A1632" s="11"/>
      <c r="B1632" s="6"/>
      <c r="C1632" s="11"/>
      <c r="D1632" s="11"/>
      <c r="E1632" s="8" t="str">
        <f aca="false">IF($A1632="","",SUMIFS($C:$C,$A:$A,$H1632,$B:$B,"&gt;="&amp;INT($B1632),$B:$B,"&lt;"&amp;(INT($B1632)+1)))</f>
        <v/>
      </c>
      <c r="F1632" s="19" t="str">
        <f aca="false">IF($A1632="","",IF(ISNA(MATCH($H1632,Buffers!$AE:$AE,0)),"Not on Buffers",IF(NOT(ISNUMBER($B1632)),"Needs a date",IF(INT($B1632)&lt;PlanDate,"Past due",IF(INT($B1632)=PlanDate,"Due today",IF(AND(INDEX(Buffers!$L:$L,MATCH($H1632,Buffers!$AE:$AE,0))="Planned",$E1632&gt;0,INT($B1632)&lt;=PlanDate+ROUNDUP(IF(ISNUMBER(SpikeHorizon),SpikeHorizon,INDEX(Buffers!$D:$D,MATCH($H1632,Buffers!$AE:$AE,0))),0),$E1632&gt;=SpikePct*INDEX(Buffers!$P:$P,MATCH($H1632,Buffers!$AE:$AE,0))),"Spike","Not qualified"))))))</f>
        <v/>
      </c>
      <c r="G1632" s="8" t="str">
        <f aca="false">IF($A1632="","",IF(OR($F1632="Past due",$F1632="Due today",$F1632="Spike"),$C1632,0))</f>
        <v/>
      </c>
      <c r="H1632" s="8" t="str">
        <f aca="false">IF($A1632="","",SUBSTITUTE(SUBSTITUTE(SUBSTITUTE($A1632&amp;"","~","~~"),"*","~*"),"?","~?"))</f>
        <v/>
      </c>
    </row>
    <row r="1633" customFormat="false" ht="15" hidden="false" customHeight="false" outlineLevel="0" collapsed="false">
      <c r="A1633" s="11"/>
      <c r="B1633" s="6"/>
      <c r="C1633" s="11"/>
      <c r="D1633" s="11"/>
      <c r="E1633" s="8" t="str">
        <f aca="false">IF($A1633="","",SUMIFS($C:$C,$A:$A,$H1633,$B:$B,"&gt;="&amp;INT($B1633),$B:$B,"&lt;"&amp;(INT($B1633)+1)))</f>
        <v/>
      </c>
      <c r="F1633" s="19" t="str">
        <f aca="false">IF($A1633="","",IF(ISNA(MATCH($H1633,Buffers!$AE:$AE,0)),"Not on Buffers",IF(NOT(ISNUMBER($B1633)),"Needs a date",IF(INT($B1633)&lt;PlanDate,"Past due",IF(INT($B1633)=PlanDate,"Due today",IF(AND(INDEX(Buffers!$L:$L,MATCH($H1633,Buffers!$AE:$AE,0))="Planned",$E1633&gt;0,INT($B1633)&lt;=PlanDate+ROUNDUP(IF(ISNUMBER(SpikeHorizon),SpikeHorizon,INDEX(Buffers!$D:$D,MATCH($H1633,Buffers!$AE:$AE,0))),0),$E1633&gt;=SpikePct*INDEX(Buffers!$P:$P,MATCH($H1633,Buffers!$AE:$AE,0))),"Spike","Not qualified"))))))</f>
        <v/>
      </c>
      <c r="G1633" s="8" t="str">
        <f aca="false">IF($A1633="","",IF(OR($F1633="Past due",$F1633="Due today",$F1633="Spike"),$C1633,0))</f>
        <v/>
      </c>
      <c r="H1633" s="8" t="str">
        <f aca="false">IF($A1633="","",SUBSTITUTE(SUBSTITUTE(SUBSTITUTE($A1633&amp;"","~","~~"),"*","~*"),"?","~?"))</f>
        <v/>
      </c>
    </row>
    <row r="1634" customFormat="false" ht="15" hidden="false" customHeight="false" outlineLevel="0" collapsed="false">
      <c r="A1634" s="11"/>
      <c r="B1634" s="6"/>
      <c r="C1634" s="11"/>
      <c r="D1634" s="11"/>
      <c r="E1634" s="8" t="str">
        <f aca="false">IF($A1634="","",SUMIFS($C:$C,$A:$A,$H1634,$B:$B,"&gt;="&amp;INT($B1634),$B:$B,"&lt;"&amp;(INT($B1634)+1)))</f>
        <v/>
      </c>
      <c r="F1634" s="19" t="str">
        <f aca="false">IF($A1634="","",IF(ISNA(MATCH($H1634,Buffers!$AE:$AE,0)),"Not on Buffers",IF(NOT(ISNUMBER($B1634)),"Needs a date",IF(INT($B1634)&lt;PlanDate,"Past due",IF(INT($B1634)=PlanDate,"Due today",IF(AND(INDEX(Buffers!$L:$L,MATCH($H1634,Buffers!$AE:$AE,0))="Planned",$E1634&gt;0,INT($B1634)&lt;=PlanDate+ROUNDUP(IF(ISNUMBER(SpikeHorizon),SpikeHorizon,INDEX(Buffers!$D:$D,MATCH($H1634,Buffers!$AE:$AE,0))),0),$E1634&gt;=SpikePct*INDEX(Buffers!$P:$P,MATCH($H1634,Buffers!$AE:$AE,0))),"Spike","Not qualified"))))))</f>
        <v/>
      </c>
      <c r="G1634" s="8" t="str">
        <f aca="false">IF($A1634="","",IF(OR($F1634="Past due",$F1634="Due today",$F1634="Spike"),$C1634,0))</f>
        <v/>
      </c>
      <c r="H1634" s="8" t="str">
        <f aca="false">IF($A1634="","",SUBSTITUTE(SUBSTITUTE(SUBSTITUTE($A1634&amp;"","~","~~"),"*","~*"),"?","~?"))</f>
        <v/>
      </c>
    </row>
    <row r="1635" customFormat="false" ht="15" hidden="false" customHeight="false" outlineLevel="0" collapsed="false">
      <c r="A1635" s="11"/>
      <c r="B1635" s="6"/>
      <c r="C1635" s="11"/>
      <c r="D1635" s="11"/>
      <c r="E1635" s="8" t="str">
        <f aca="false">IF($A1635="","",SUMIFS($C:$C,$A:$A,$H1635,$B:$B,"&gt;="&amp;INT($B1635),$B:$B,"&lt;"&amp;(INT($B1635)+1)))</f>
        <v/>
      </c>
      <c r="F1635" s="19" t="str">
        <f aca="false">IF($A1635="","",IF(ISNA(MATCH($H1635,Buffers!$AE:$AE,0)),"Not on Buffers",IF(NOT(ISNUMBER($B1635)),"Needs a date",IF(INT($B1635)&lt;PlanDate,"Past due",IF(INT($B1635)=PlanDate,"Due today",IF(AND(INDEX(Buffers!$L:$L,MATCH($H1635,Buffers!$AE:$AE,0))="Planned",$E1635&gt;0,INT($B1635)&lt;=PlanDate+ROUNDUP(IF(ISNUMBER(SpikeHorizon),SpikeHorizon,INDEX(Buffers!$D:$D,MATCH($H1635,Buffers!$AE:$AE,0))),0),$E1635&gt;=SpikePct*INDEX(Buffers!$P:$P,MATCH($H1635,Buffers!$AE:$AE,0))),"Spike","Not qualified"))))))</f>
        <v/>
      </c>
      <c r="G1635" s="8" t="str">
        <f aca="false">IF($A1635="","",IF(OR($F1635="Past due",$F1635="Due today",$F1635="Spike"),$C1635,0))</f>
        <v/>
      </c>
      <c r="H1635" s="8" t="str">
        <f aca="false">IF($A1635="","",SUBSTITUTE(SUBSTITUTE(SUBSTITUTE($A1635&amp;"","~","~~"),"*","~*"),"?","~?"))</f>
        <v/>
      </c>
    </row>
    <row r="1636" customFormat="false" ht="15" hidden="false" customHeight="false" outlineLevel="0" collapsed="false">
      <c r="A1636" s="11"/>
      <c r="B1636" s="6"/>
      <c r="C1636" s="11"/>
      <c r="D1636" s="11"/>
      <c r="E1636" s="8" t="str">
        <f aca="false">IF($A1636="","",SUMIFS($C:$C,$A:$A,$H1636,$B:$B,"&gt;="&amp;INT($B1636),$B:$B,"&lt;"&amp;(INT($B1636)+1)))</f>
        <v/>
      </c>
      <c r="F1636" s="19" t="str">
        <f aca="false">IF($A1636="","",IF(ISNA(MATCH($H1636,Buffers!$AE:$AE,0)),"Not on Buffers",IF(NOT(ISNUMBER($B1636)),"Needs a date",IF(INT($B1636)&lt;PlanDate,"Past due",IF(INT($B1636)=PlanDate,"Due today",IF(AND(INDEX(Buffers!$L:$L,MATCH($H1636,Buffers!$AE:$AE,0))="Planned",$E1636&gt;0,INT($B1636)&lt;=PlanDate+ROUNDUP(IF(ISNUMBER(SpikeHorizon),SpikeHorizon,INDEX(Buffers!$D:$D,MATCH($H1636,Buffers!$AE:$AE,0))),0),$E1636&gt;=SpikePct*INDEX(Buffers!$P:$P,MATCH($H1636,Buffers!$AE:$AE,0))),"Spike","Not qualified"))))))</f>
        <v/>
      </c>
      <c r="G1636" s="8" t="str">
        <f aca="false">IF($A1636="","",IF(OR($F1636="Past due",$F1636="Due today",$F1636="Spike"),$C1636,0))</f>
        <v/>
      </c>
      <c r="H1636" s="8" t="str">
        <f aca="false">IF($A1636="","",SUBSTITUTE(SUBSTITUTE(SUBSTITUTE($A1636&amp;"","~","~~"),"*","~*"),"?","~?"))</f>
        <v/>
      </c>
    </row>
    <row r="1637" customFormat="false" ht="15" hidden="false" customHeight="false" outlineLevel="0" collapsed="false">
      <c r="A1637" s="11"/>
      <c r="B1637" s="6"/>
      <c r="C1637" s="11"/>
      <c r="D1637" s="11"/>
      <c r="E1637" s="8" t="str">
        <f aca="false">IF($A1637="","",SUMIFS($C:$C,$A:$A,$H1637,$B:$B,"&gt;="&amp;INT($B1637),$B:$B,"&lt;"&amp;(INT($B1637)+1)))</f>
        <v/>
      </c>
      <c r="F1637" s="19" t="str">
        <f aca="false">IF($A1637="","",IF(ISNA(MATCH($H1637,Buffers!$AE:$AE,0)),"Not on Buffers",IF(NOT(ISNUMBER($B1637)),"Needs a date",IF(INT($B1637)&lt;PlanDate,"Past due",IF(INT($B1637)=PlanDate,"Due today",IF(AND(INDEX(Buffers!$L:$L,MATCH($H1637,Buffers!$AE:$AE,0))="Planned",$E1637&gt;0,INT($B1637)&lt;=PlanDate+ROUNDUP(IF(ISNUMBER(SpikeHorizon),SpikeHorizon,INDEX(Buffers!$D:$D,MATCH($H1637,Buffers!$AE:$AE,0))),0),$E1637&gt;=SpikePct*INDEX(Buffers!$P:$P,MATCH($H1637,Buffers!$AE:$AE,0))),"Spike","Not qualified"))))))</f>
        <v/>
      </c>
      <c r="G1637" s="8" t="str">
        <f aca="false">IF($A1637="","",IF(OR($F1637="Past due",$F1637="Due today",$F1637="Spike"),$C1637,0))</f>
        <v/>
      </c>
      <c r="H1637" s="8" t="str">
        <f aca="false">IF($A1637="","",SUBSTITUTE(SUBSTITUTE(SUBSTITUTE($A1637&amp;"","~","~~"),"*","~*"),"?","~?"))</f>
        <v/>
      </c>
    </row>
    <row r="1638" customFormat="false" ht="15" hidden="false" customHeight="false" outlineLevel="0" collapsed="false">
      <c r="A1638" s="11"/>
      <c r="B1638" s="6"/>
      <c r="C1638" s="11"/>
      <c r="D1638" s="11"/>
      <c r="E1638" s="8" t="str">
        <f aca="false">IF($A1638="","",SUMIFS($C:$C,$A:$A,$H1638,$B:$B,"&gt;="&amp;INT($B1638),$B:$B,"&lt;"&amp;(INT($B1638)+1)))</f>
        <v/>
      </c>
      <c r="F1638" s="19" t="str">
        <f aca="false">IF($A1638="","",IF(ISNA(MATCH($H1638,Buffers!$AE:$AE,0)),"Not on Buffers",IF(NOT(ISNUMBER($B1638)),"Needs a date",IF(INT($B1638)&lt;PlanDate,"Past due",IF(INT($B1638)=PlanDate,"Due today",IF(AND(INDEX(Buffers!$L:$L,MATCH($H1638,Buffers!$AE:$AE,0))="Planned",$E1638&gt;0,INT($B1638)&lt;=PlanDate+ROUNDUP(IF(ISNUMBER(SpikeHorizon),SpikeHorizon,INDEX(Buffers!$D:$D,MATCH($H1638,Buffers!$AE:$AE,0))),0),$E1638&gt;=SpikePct*INDEX(Buffers!$P:$P,MATCH($H1638,Buffers!$AE:$AE,0))),"Spike","Not qualified"))))))</f>
        <v/>
      </c>
      <c r="G1638" s="8" t="str">
        <f aca="false">IF($A1638="","",IF(OR($F1638="Past due",$F1638="Due today",$F1638="Spike"),$C1638,0))</f>
        <v/>
      </c>
      <c r="H1638" s="8" t="str">
        <f aca="false">IF($A1638="","",SUBSTITUTE(SUBSTITUTE(SUBSTITUTE($A1638&amp;"","~","~~"),"*","~*"),"?","~?"))</f>
        <v/>
      </c>
    </row>
    <row r="1639" customFormat="false" ht="15" hidden="false" customHeight="false" outlineLevel="0" collapsed="false">
      <c r="A1639" s="11"/>
      <c r="B1639" s="6"/>
      <c r="C1639" s="11"/>
      <c r="D1639" s="11"/>
      <c r="E1639" s="8" t="str">
        <f aca="false">IF($A1639="","",SUMIFS($C:$C,$A:$A,$H1639,$B:$B,"&gt;="&amp;INT($B1639),$B:$B,"&lt;"&amp;(INT($B1639)+1)))</f>
        <v/>
      </c>
      <c r="F1639" s="19" t="str">
        <f aca="false">IF($A1639="","",IF(ISNA(MATCH($H1639,Buffers!$AE:$AE,0)),"Not on Buffers",IF(NOT(ISNUMBER($B1639)),"Needs a date",IF(INT($B1639)&lt;PlanDate,"Past due",IF(INT($B1639)=PlanDate,"Due today",IF(AND(INDEX(Buffers!$L:$L,MATCH($H1639,Buffers!$AE:$AE,0))="Planned",$E1639&gt;0,INT($B1639)&lt;=PlanDate+ROUNDUP(IF(ISNUMBER(SpikeHorizon),SpikeHorizon,INDEX(Buffers!$D:$D,MATCH($H1639,Buffers!$AE:$AE,0))),0),$E1639&gt;=SpikePct*INDEX(Buffers!$P:$P,MATCH($H1639,Buffers!$AE:$AE,0))),"Spike","Not qualified"))))))</f>
        <v/>
      </c>
      <c r="G1639" s="8" t="str">
        <f aca="false">IF($A1639="","",IF(OR($F1639="Past due",$F1639="Due today",$F1639="Spike"),$C1639,0))</f>
        <v/>
      </c>
      <c r="H1639" s="8" t="str">
        <f aca="false">IF($A1639="","",SUBSTITUTE(SUBSTITUTE(SUBSTITUTE($A1639&amp;"","~","~~"),"*","~*"),"?","~?"))</f>
        <v/>
      </c>
    </row>
    <row r="1640" customFormat="false" ht="15" hidden="false" customHeight="false" outlineLevel="0" collapsed="false">
      <c r="A1640" s="11"/>
      <c r="B1640" s="6"/>
      <c r="C1640" s="11"/>
      <c r="D1640" s="11"/>
      <c r="E1640" s="8" t="str">
        <f aca="false">IF($A1640="","",SUMIFS($C:$C,$A:$A,$H1640,$B:$B,"&gt;="&amp;INT($B1640),$B:$B,"&lt;"&amp;(INT($B1640)+1)))</f>
        <v/>
      </c>
      <c r="F1640" s="19" t="str">
        <f aca="false">IF($A1640="","",IF(ISNA(MATCH($H1640,Buffers!$AE:$AE,0)),"Not on Buffers",IF(NOT(ISNUMBER($B1640)),"Needs a date",IF(INT($B1640)&lt;PlanDate,"Past due",IF(INT($B1640)=PlanDate,"Due today",IF(AND(INDEX(Buffers!$L:$L,MATCH($H1640,Buffers!$AE:$AE,0))="Planned",$E1640&gt;0,INT($B1640)&lt;=PlanDate+ROUNDUP(IF(ISNUMBER(SpikeHorizon),SpikeHorizon,INDEX(Buffers!$D:$D,MATCH($H1640,Buffers!$AE:$AE,0))),0),$E1640&gt;=SpikePct*INDEX(Buffers!$P:$P,MATCH($H1640,Buffers!$AE:$AE,0))),"Spike","Not qualified"))))))</f>
        <v/>
      </c>
      <c r="G1640" s="8" t="str">
        <f aca="false">IF($A1640="","",IF(OR($F1640="Past due",$F1640="Due today",$F1640="Spike"),$C1640,0))</f>
        <v/>
      </c>
      <c r="H1640" s="8" t="str">
        <f aca="false">IF($A1640="","",SUBSTITUTE(SUBSTITUTE(SUBSTITUTE($A1640&amp;"","~","~~"),"*","~*"),"?","~?"))</f>
        <v/>
      </c>
    </row>
    <row r="1641" customFormat="false" ht="15" hidden="false" customHeight="false" outlineLevel="0" collapsed="false">
      <c r="A1641" s="11"/>
      <c r="B1641" s="6"/>
      <c r="C1641" s="11"/>
      <c r="D1641" s="11"/>
      <c r="E1641" s="8" t="str">
        <f aca="false">IF($A1641="","",SUMIFS($C:$C,$A:$A,$H1641,$B:$B,"&gt;="&amp;INT($B1641),$B:$B,"&lt;"&amp;(INT($B1641)+1)))</f>
        <v/>
      </c>
      <c r="F1641" s="19" t="str">
        <f aca="false">IF($A1641="","",IF(ISNA(MATCH($H1641,Buffers!$AE:$AE,0)),"Not on Buffers",IF(NOT(ISNUMBER($B1641)),"Needs a date",IF(INT($B1641)&lt;PlanDate,"Past due",IF(INT($B1641)=PlanDate,"Due today",IF(AND(INDEX(Buffers!$L:$L,MATCH($H1641,Buffers!$AE:$AE,0))="Planned",$E1641&gt;0,INT($B1641)&lt;=PlanDate+ROUNDUP(IF(ISNUMBER(SpikeHorizon),SpikeHorizon,INDEX(Buffers!$D:$D,MATCH($H1641,Buffers!$AE:$AE,0))),0),$E1641&gt;=SpikePct*INDEX(Buffers!$P:$P,MATCH($H1641,Buffers!$AE:$AE,0))),"Spike","Not qualified"))))))</f>
        <v/>
      </c>
      <c r="G1641" s="8" t="str">
        <f aca="false">IF($A1641="","",IF(OR($F1641="Past due",$F1641="Due today",$F1641="Spike"),$C1641,0))</f>
        <v/>
      </c>
      <c r="H1641" s="8" t="str">
        <f aca="false">IF($A1641="","",SUBSTITUTE(SUBSTITUTE(SUBSTITUTE($A1641&amp;"","~","~~"),"*","~*"),"?","~?"))</f>
        <v/>
      </c>
    </row>
    <row r="1642" customFormat="false" ht="15" hidden="false" customHeight="false" outlineLevel="0" collapsed="false">
      <c r="A1642" s="11"/>
      <c r="B1642" s="6"/>
      <c r="C1642" s="11"/>
      <c r="D1642" s="11"/>
      <c r="E1642" s="8" t="str">
        <f aca="false">IF($A1642="","",SUMIFS($C:$C,$A:$A,$H1642,$B:$B,"&gt;="&amp;INT($B1642),$B:$B,"&lt;"&amp;(INT($B1642)+1)))</f>
        <v/>
      </c>
      <c r="F1642" s="19" t="str">
        <f aca="false">IF($A1642="","",IF(ISNA(MATCH($H1642,Buffers!$AE:$AE,0)),"Not on Buffers",IF(NOT(ISNUMBER($B1642)),"Needs a date",IF(INT($B1642)&lt;PlanDate,"Past due",IF(INT($B1642)=PlanDate,"Due today",IF(AND(INDEX(Buffers!$L:$L,MATCH($H1642,Buffers!$AE:$AE,0))="Planned",$E1642&gt;0,INT($B1642)&lt;=PlanDate+ROUNDUP(IF(ISNUMBER(SpikeHorizon),SpikeHorizon,INDEX(Buffers!$D:$D,MATCH($H1642,Buffers!$AE:$AE,0))),0),$E1642&gt;=SpikePct*INDEX(Buffers!$P:$P,MATCH($H1642,Buffers!$AE:$AE,0))),"Spike","Not qualified"))))))</f>
        <v/>
      </c>
      <c r="G1642" s="8" t="str">
        <f aca="false">IF($A1642="","",IF(OR($F1642="Past due",$F1642="Due today",$F1642="Spike"),$C1642,0))</f>
        <v/>
      </c>
      <c r="H1642" s="8" t="str">
        <f aca="false">IF($A1642="","",SUBSTITUTE(SUBSTITUTE(SUBSTITUTE($A1642&amp;"","~","~~"),"*","~*"),"?","~?"))</f>
        <v/>
      </c>
    </row>
    <row r="1643" customFormat="false" ht="15" hidden="false" customHeight="false" outlineLevel="0" collapsed="false">
      <c r="A1643" s="11"/>
      <c r="B1643" s="6"/>
      <c r="C1643" s="11"/>
      <c r="D1643" s="11"/>
      <c r="E1643" s="8" t="str">
        <f aca="false">IF($A1643="","",SUMIFS($C:$C,$A:$A,$H1643,$B:$B,"&gt;="&amp;INT($B1643),$B:$B,"&lt;"&amp;(INT($B1643)+1)))</f>
        <v/>
      </c>
      <c r="F1643" s="19" t="str">
        <f aca="false">IF($A1643="","",IF(ISNA(MATCH($H1643,Buffers!$AE:$AE,0)),"Not on Buffers",IF(NOT(ISNUMBER($B1643)),"Needs a date",IF(INT($B1643)&lt;PlanDate,"Past due",IF(INT($B1643)=PlanDate,"Due today",IF(AND(INDEX(Buffers!$L:$L,MATCH($H1643,Buffers!$AE:$AE,0))="Planned",$E1643&gt;0,INT($B1643)&lt;=PlanDate+ROUNDUP(IF(ISNUMBER(SpikeHorizon),SpikeHorizon,INDEX(Buffers!$D:$D,MATCH($H1643,Buffers!$AE:$AE,0))),0),$E1643&gt;=SpikePct*INDEX(Buffers!$P:$P,MATCH($H1643,Buffers!$AE:$AE,0))),"Spike","Not qualified"))))))</f>
        <v/>
      </c>
      <c r="G1643" s="8" t="str">
        <f aca="false">IF($A1643="","",IF(OR($F1643="Past due",$F1643="Due today",$F1643="Spike"),$C1643,0))</f>
        <v/>
      </c>
      <c r="H1643" s="8" t="str">
        <f aca="false">IF($A1643="","",SUBSTITUTE(SUBSTITUTE(SUBSTITUTE($A1643&amp;"","~","~~"),"*","~*"),"?","~?"))</f>
        <v/>
      </c>
    </row>
    <row r="1644" customFormat="false" ht="15" hidden="false" customHeight="false" outlineLevel="0" collapsed="false">
      <c r="A1644" s="11"/>
      <c r="B1644" s="6"/>
      <c r="C1644" s="11"/>
      <c r="D1644" s="11"/>
      <c r="E1644" s="8" t="str">
        <f aca="false">IF($A1644="","",SUMIFS($C:$C,$A:$A,$H1644,$B:$B,"&gt;="&amp;INT($B1644),$B:$B,"&lt;"&amp;(INT($B1644)+1)))</f>
        <v/>
      </c>
      <c r="F1644" s="19" t="str">
        <f aca="false">IF($A1644="","",IF(ISNA(MATCH($H1644,Buffers!$AE:$AE,0)),"Not on Buffers",IF(NOT(ISNUMBER($B1644)),"Needs a date",IF(INT($B1644)&lt;PlanDate,"Past due",IF(INT($B1644)=PlanDate,"Due today",IF(AND(INDEX(Buffers!$L:$L,MATCH($H1644,Buffers!$AE:$AE,0))="Planned",$E1644&gt;0,INT($B1644)&lt;=PlanDate+ROUNDUP(IF(ISNUMBER(SpikeHorizon),SpikeHorizon,INDEX(Buffers!$D:$D,MATCH($H1644,Buffers!$AE:$AE,0))),0),$E1644&gt;=SpikePct*INDEX(Buffers!$P:$P,MATCH($H1644,Buffers!$AE:$AE,0))),"Spike","Not qualified"))))))</f>
        <v/>
      </c>
      <c r="G1644" s="8" t="str">
        <f aca="false">IF($A1644="","",IF(OR($F1644="Past due",$F1644="Due today",$F1644="Spike"),$C1644,0))</f>
        <v/>
      </c>
      <c r="H1644" s="8" t="str">
        <f aca="false">IF($A1644="","",SUBSTITUTE(SUBSTITUTE(SUBSTITUTE($A1644&amp;"","~","~~"),"*","~*"),"?","~?"))</f>
        <v/>
      </c>
    </row>
    <row r="1645" customFormat="false" ht="15" hidden="false" customHeight="false" outlineLevel="0" collapsed="false">
      <c r="A1645" s="11"/>
      <c r="B1645" s="6"/>
      <c r="C1645" s="11"/>
      <c r="D1645" s="11"/>
      <c r="E1645" s="8" t="str">
        <f aca="false">IF($A1645="","",SUMIFS($C:$C,$A:$A,$H1645,$B:$B,"&gt;="&amp;INT($B1645),$B:$B,"&lt;"&amp;(INT($B1645)+1)))</f>
        <v/>
      </c>
      <c r="F1645" s="19" t="str">
        <f aca="false">IF($A1645="","",IF(ISNA(MATCH($H1645,Buffers!$AE:$AE,0)),"Not on Buffers",IF(NOT(ISNUMBER($B1645)),"Needs a date",IF(INT($B1645)&lt;PlanDate,"Past due",IF(INT($B1645)=PlanDate,"Due today",IF(AND(INDEX(Buffers!$L:$L,MATCH($H1645,Buffers!$AE:$AE,0))="Planned",$E1645&gt;0,INT($B1645)&lt;=PlanDate+ROUNDUP(IF(ISNUMBER(SpikeHorizon),SpikeHorizon,INDEX(Buffers!$D:$D,MATCH($H1645,Buffers!$AE:$AE,0))),0),$E1645&gt;=SpikePct*INDEX(Buffers!$P:$P,MATCH($H1645,Buffers!$AE:$AE,0))),"Spike","Not qualified"))))))</f>
        <v/>
      </c>
      <c r="G1645" s="8" t="str">
        <f aca="false">IF($A1645="","",IF(OR($F1645="Past due",$F1645="Due today",$F1645="Spike"),$C1645,0))</f>
        <v/>
      </c>
      <c r="H1645" s="8" t="str">
        <f aca="false">IF($A1645="","",SUBSTITUTE(SUBSTITUTE(SUBSTITUTE($A1645&amp;"","~","~~"),"*","~*"),"?","~?"))</f>
        <v/>
      </c>
    </row>
    <row r="1646" customFormat="false" ht="15" hidden="false" customHeight="false" outlineLevel="0" collapsed="false">
      <c r="A1646" s="11"/>
      <c r="B1646" s="6"/>
      <c r="C1646" s="11"/>
      <c r="D1646" s="11"/>
      <c r="E1646" s="8" t="str">
        <f aca="false">IF($A1646="","",SUMIFS($C:$C,$A:$A,$H1646,$B:$B,"&gt;="&amp;INT($B1646),$B:$B,"&lt;"&amp;(INT($B1646)+1)))</f>
        <v/>
      </c>
      <c r="F1646" s="19" t="str">
        <f aca="false">IF($A1646="","",IF(ISNA(MATCH($H1646,Buffers!$AE:$AE,0)),"Not on Buffers",IF(NOT(ISNUMBER($B1646)),"Needs a date",IF(INT($B1646)&lt;PlanDate,"Past due",IF(INT($B1646)=PlanDate,"Due today",IF(AND(INDEX(Buffers!$L:$L,MATCH($H1646,Buffers!$AE:$AE,0))="Planned",$E1646&gt;0,INT($B1646)&lt;=PlanDate+ROUNDUP(IF(ISNUMBER(SpikeHorizon),SpikeHorizon,INDEX(Buffers!$D:$D,MATCH($H1646,Buffers!$AE:$AE,0))),0),$E1646&gt;=SpikePct*INDEX(Buffers!$P:$P,MATCH($H1646,Buffers!$AE:$AE,0))),"Spike","Not qualified"))))))</f>
        <v/>
      </c>
      <c r="G1646" s="8" t="str">
        <f aca="false">IF($A1646="","",IF(OR($F1646="Past due",$F1646="Due today",$F1646="Spike"),$C1646,0))</f>
        <v/>
      </c>
      <c r="H1646" s="8" t="str">
        <f aca="false">IF($A1646="","",SUBSTITUTE(SUBSTITUTE(SUBSTITUTE($A1646&amp;"","~","~~"),"*","~*"),"?","~?"))</f>
        <v/>
      </c>
    </row>
    <row r="1647" customFormat="false" ht="15" hidden="false" customHeight="false" outlineLevel="0" collapsed="false">
      <c r="A1647" s="11"/>
      <c r="B1647" s="6"/>
      <c r="C1647" s="11"/>
      <c r="D1647" s="11"/>
      <c r="E1647" s="8" t="str">
        <f aca="false">IF($A1647="","",SUMIFS($C:$C,$A:$A,$H1647,$B:$B,"&gt;="&amp;INT($B1647),$B:$B,"&lt;"&amp;(INT($B1647)+1)))</f>
        <v/>
      </c>
      <c r="F1647" s="19" t="str">
        <f aca="false">IF($A1647="","",IF(ISNA(MATCH($H1647,Buffers!$AE:$AE,0)),"Not on Buffers",IF(NOT(ISNUMBER($B1647)),"Needs a date",IF(INT($B1647)&lt;PlanDate,"Past due",IF(INT($B1647)=PlanDate,"Due today",IF(AND(INDEX(Buffers!$L:$L,MATCH($H1647,Buffers!$AE:$AE,0))="Planned",$E1647&gt;0,INT($B1647)&lt;=PlanDate+ROUNDUP(IF(ISNUMBER(SpikeHorizon),SpikeHorizon,INDEX(Buffers!$D:$D,MATCH($H1647,Buffers!$AE:$AE,0))),0),$E1647&gt;=SpikePct*INDEX(Buffers!$P:$P,MATCH($H1647,Buffers!$AE:$AE,0))),"Spike","Not qualified"))))))</f>
        <v/>
      </c>
      <c r="G1647" s="8" t="str">
        <f aca="false">IF($A1647="","",IF(OR($F1647="Past due",$F1647="Due today",$F1647="Spike"),$C1647,0))</f>
        <v/>
      </c>
      <c r="H1647" s="8" t="str">
        <f aca="false">IF($A1647="","",SUBSTITUTE(SUBSTITUTE(SUBSTITUTE($A1647&amp;"","~","~~"),"*","~*"),"?","~?"))</f>
        <v/>
      </c>
    </row>
    <row r="1648" customFormat="false" ht="15" hidden="false" customHeight="false" outlineLevel="0" collapsed="false">
      <c r="A1648" s="11"/>
      <c r="B1648" s="6"/>
      <c r="C1648" s="11"/>
      <c r="D1648" s="11"/>
      <c r="E1648" s="8" t="str">
        <f aca="false">IF($A1648="","",SUMIFS($C:$C,$A:$A,$H1648,$B:$B,"&gt;="&amp;INT($B1648),$B:$B,"&lt;"&amp;(INT($B1648)+1)))</f>
        <v/>
      </c>
      <c r="F1648" s="19" t="str">
        <f aca="false">IF($A1648="","",IF(ISNA(MATCH($H1648,Buffers!$AE:$AE,0)),"Not on Buffers",IF(NOT(ISNUMBER($B1648)),"Needs a date",IF(INT($B1648)&lt;PlanDate,"Past due",IF(INT($B1648)=PlanDate,"Due today",IF(AND(INDEX(Buffers!$L:$L,MATCH($H1648,Buffers!$AE:$AE,0))="Planned",$E1648&gt;0,INT($B1648)&lt;=PlanDate+ROUNDUP(IF(ISNUMBER(SpikeHorizon),SpikeHorizon,INDEX(Buffers!$D:$D,MATCH($H1648,Buffers!$AE:$AE,0))),0),$E1648&gt;=SpikePct*INDEX(Buffers!$P:$P,MATCH($H1648,Buffers!$AE:$AE,0))),"Spike","Not qualified"))))))</f>
        <v/>
      </c>
      <c r="G1648" s="8" t="str">
        <f aca="false">IF($A1648="","",IF(OR($F1648="Past due",$F1648="Due today",$F1648="Spike"),$C1648,0))</f>
        <v/>
      </c>
      <c r="H1648" s="8" t="str">
        <f aca="false">IF($A1648="","",SUBSTITUTE(SUBSTITUTE(SUBSTITUTE($A1648&amp;"","~","~~"),"*","~*"),"?","~?"))</f>
        <v/>
      </c>
    </row>
    <row r="1649" customFormat="false" ht="15" hidden="false" customHeight="false" outlineLevel="0" collapsed="false">
      <c r="A1649" s="11"/>
      <c r="B1649" s="6"/>
      <c r="C1649" s="11"/>
      <c r="D1649" s="11"/>
      <c r="E1649" s="8" t="str">
        <f aca="false">IF($A1649="","",SUMIFS($C:$C,$A:$A,$H1649,$B:$B,"&gt;="&amp;INT($B1649),$B:$B,"&lt;"&amp;(INT($B1649)+1)))</f>
        <v/>
      </c>
      <c r="F1649" s="19" t="str">
        <f aca="false">IF($A1649="","",IF(ISNA(MATCH($H1649,Buffers!$AE:$AE,0)),"Not on Buffers",IF(NOT(ISNUMBER($B1649)),"Needs a date",IF(INT($B1649)&lt;PlanDate,"Past due",IF(INT($B1649)=PlanDate,"Due today",IF(AND(INDEX(Buffers!$L:$L,MATCH($H1649,Buffers!$AE:$AE,0))="Planned",$E1649&gt;0,INT($B1649)&lt;=PlanDate+ROUNDUP(IF(ISNUMBER(SpikeHorizon),SpikeHorizon,INDEX(Buffers!$D:$D,MATCH($H1649,Buffers!$AE:$AE,0))),0),$E1649&gt;=SpikePct*INDEX(Buffers!$P:$P,MATCH($H1649,Buffers!$AE:$AE,0))),"Spike","Not qualified"))))))</f>
        <v/>
      </c>
      <c r="G1649" s="8" t="str">
        <f aca="false">IF($A1649="","",IF(OR($F1649="Past due",$F1649="Due today",$F1649="Spike"),$C1649,0))</f>
        <v/>
      </c>
      <c r="H1649" s="8" t="str">
        <f aca="false">IF($A1649="","",SUBSTITUTE(SUBSTITUTE(SUBSTITUTE($A1649&amp;"","~","~~"),"*","~*"),"?","~?"))</f>
        <v/>
      </c>
    </row>
    <row r="1650" customFormat="false" ht="15" hidden="false" customHeight="false" outlineLevel="0" collapsed="false">
      <c r="A1650" s="11"/>
      <c r="B1650" s="6"/>
      <c r="C1650" s="11"/>
      <c r="D1650" s="11"/>
      <c r="E1650" s="8" t="str">
        <f aca="false">IF($A1650="","",SUMIFS($C:$C,$A:$A,$H1650,$B:$B,"&gt;="&amp;INT($B1650),$B:$B,"&lt;"&amp;(INT($B1650)+1)))</f>
        <v/>
      </c>
      <c r="F1650" s="19" t="str">
        <f aca="false">IF($A1650="","",IF(ISNA(MATCH($H1650,Buffers!$AE:$AE,0)),"Not on Buffers",IF(NOT(ISNUMBER($B1650)),"Needs a date",IF(INT($B1650)&lt;PlanDate,"Past due",IF(INT($B1650)=PlanDate,"Due today",IF(AND(INDEX(Buffers!$L:$L,MATCH($H1650,Buffers!$AE:$AE,0))="Planned",$E1650&gt;0,INT($B1650)&lt;=PlanDate+ROUNDUP(IF(ISNUMBER(SpikeHorizon),SpikeHorizon,INDEX(Buffers!$D:$D,MATCH($H1650,Buffers!$AE:$AE,0))),0),$E1650&gt;=SpikePct*INDEX(Buffers!$P:$P,MATCH($H1650,Buffers!$AE:$AE,0))),"Spike","Not qualified"))))))</f>
        <v/>
      </c>
      <c r="G1650" s="8" t="str">
        <f aca="false">IF($A1650="","",IF(OR($F1650="Past due",$F1650="Due today",$F1650="Spike"),$C1650,0))</f>
        <v/>
      </c>
      <c r="H1650" s="8" t="str">
        <f aca="false">IF($A1650="","",SUBSTITUTE(SUBSTITUTE(SUBSTITUTE($A1650&amp;"","~","~~"),"*","~*"),"?","~?"))</f>
        <v/>
      </c>
    </row>
    <row r="1651" customFormat="false" ht="15" hidden="false" customHeight="false" outlineLevel="0" collapsed="false">
      <c r="A1651" s="11"/>
      <c r="B1651" s="6"/>
      <c r="C1651" s="11"/>
      <c r="D1651" s="11"/>
      <c r="E1651" s="8" t="str">
        <f aca="false">IF($A1651="","",SUMIFS($C:$C,$A:$A,$H1651,$B:$B,"&gt;="&amp;INT($B1651),$B:$B,"&lt;"&amp;(INT($B1651)+1)))</f>
        <v/>
      </c>
      <c r="F1651" s="19" t="str">
        <f aca="false">IF($A1651="","",IF(ISNA(MATCH($H1651,Buffers!$AE:$AE,0)),"Not on Buffers",IF(NOT(ISNUMBER($B1651)),"Needs a date",IF(INT($B1651)&lt;PlanDate,"Past due",IF(INT($B1651)=PlanDate,"Due today",IF(AND(INDEX(Buffers!$L:$L,MATCH($H1651,Buffers!$AE:$AE,0))="Planned",$E1651&gt;0,INT($B1651)&lt;=PlanDate+ROUNDUP(IF(ISNUMBER(SpikeHorizon),SpikeHorizon,INDEX(Buffers!$D:$D,MATCH($H1651,Buffers!$AE:$AE,0))),0),$E1651&gt;=SpikePct*INDEX(Buffers!$P:$P,MATCH($H1651,Buffers!$AE:$AE,0))),"Spike","Not qualified"))))))</f>
        <v/>
      </c>
      <c r="G1651" s="8" t="str">
        <f aca="false">IF($A1651="","",IF(OR($F1651="Past due",$F1651="Due today",$F1651="Spike"),$C1651,0))</f>
        <v/>
      </c>
      <c r="H1651" s="8" t="str">
        <f aca="false">IF($A1651="","",SUBSTITUTE(SUBSTITUTE(SUBSTITUTE($A1651&amp;"","~","~~"),"*","~*"),"?","~?"))</f>
        <v/>
      </c>
    </row>
    <row r="1652" customFormat="false" ht="15" hidden="false" customHeight="false" outlineLevel="0" collapsed="false">
      <c r="A1652" s="11"/>
      <c r="B1652" s="6"/>
      <c r="C1652" s="11"/>
      <c r="D1652" s="11"/>
      <c r="E1652" s="8" t="str">
        <f aca="false">IF($A1652="","",SUMIFS($C:$C,$A:$A,$H1652,$B:$B,"&gt;="&amp;INT($B1652),$B:$B,"&lt;"&amp;(INT($B1652)+1)))</f>
        <v/>
      </c>
      <c r="F1652" s="19" t="str">
        <f aca="false">IF($A1652="","",IF(ISNA(MATCH($H1652,Buffers!$AE:$AE,0)),"Not on Buffers",IF(NOT(ISNUMBER($B1652)),"Needs a date",IF(INT($B1652)&lt;PlanDate,"Past due",IF(INT($B1652)=PlanDate,"Due today",IF(AND(INDEX(Buffers!$L:$L,MATCH($H1652,Buffers!$AE:$AE,0))="Planned",$E1652&gt;0,INT($B1652)&lt;=PlanDate+ROUNDUP(IF(ISNUMBER(SpikeHorizon),SpikeHorizon,INDEX(Buffers!$D:$D,MATCH($H1652,Buffers!$AE:$AE,0))),0),$E1652&gt;=SpikePct*INDEX(Buffers!$P:$P,MATCH($H1652,Buffers!$AE:$AE,0))),"Spike","Not qualified"))))))</f>
        <v/>
      </c>
      <c r="G1652" s="8" t="str">
        <f aca="false">IF($A1652="","",IF(OR($F1652="Past due",$F1652="Due today",$F1652="Spike"),$C1652,0))</f>
        <v/>
      </c>
      <c r="H1652" s="8" t="str">
        <f aca="false">IF($A1652="","",SUBSTITUTE(SUBSTITUTE(SUBSTITUTE($A1652&amp;"","~","~~"),"*","~*"),"?","~?"))</f>
        <v/>
      </c>
    </row>
    <row r="1653" customFormat="false" ht="15" hidden="false" customHeight="false" outlineLevel="0" collapsed="false">
      <c r="A1653" s="11"/>
      <c r="B1653" s="6"/>
      <c r="C1653" s="11"/>
      <c r="D1653" s="11"/>
      <c r="E1653" s="8" t="str">
        <f aca="false">IF($A1653="","",SUMIFS($C:$C,$A:$A,$H1653,$B:$B,"&gt;="&amp;INT($B1653),$B:$B,"&lt;"&amp;(INT($B1653)+1)))</f>
        <v/>
      </c>
      <c r="F1653" s="19" t="str">
        <f aca="false">IF($A1653="","",IF(ISNA(MATCH($H1653,Buffers!$AE:$AE,0)),"Not on Buffers",IF(NOT(ISNUMBER($B1653)),"Needs a date",IF(INT($B1653)&lt;PlanDate,"Past due",IF(INT($B1653)=PlanDate,"Due today",IF(AND(INDEX(Buffers!$L:$L,MATCH($H1653,Buffers!$AE:$AE,0))="Planned",$E1653&gt;0,INT($B1653)&lt;=PlanDate+ROUNDUP(IF(ISNUMBER(SpikeHorizon),SpikeHorizon,INDEX(Buffers!$D:$D,MATCH($H1653,Buffers!$AE:$AE,0))),0),$E1653&gt;=SpikePct*INDEX(Buffers!$P:$P,MATCH($H1653,Buffers!$AE:$AE,0))),"Spike","Not qualified"))))))</f>
        <v/>
      </c>
      <c r="G1653" s="8" t="str">
        <f aca="false">IF($A1653="","",IF(OR($F1653="Past due",$F1653="Due today",$F1653="Spike"),$C1653,0))</f>
        <v/>
      </c>
      <c r="H1653" s="8" t="str">
        <f aca="false">IF($A1653="","",SUBSTITUTE(SUBSTITUTE(SUBSTITUTE($A1653&amp;"","~","~~"),"*","~*"),"?","~?"))</f>
        <v/>
      </c>
    </row>
    <row r="1654" customFormat="false" ht="15" hidden="false" customHeight="false" outlineLevel="0" collapsed="false">
      <c r="A1654" s="11"/>
      <c r="B1654" s="6"/>
      <c r="C1654" s="11"/>
      <c r="D1654" s="11"/>
      <c r="E1654" s="8" t="str">
        <f aca="false">IF($A1654="","",SUMIFS($C:$C,$A:$A,$H1654,$B:$B,"&gt;="&amp;INT($B1654),$B:$B,"&lt;"&amp;(INT($B1654)+1)))</f>
        <v/>
      </c>
      <c r="F1654" s="19" t="str">
        <f aca="false">IF($A1654="","",IF(ISNA(MATCH($H1654,Buffers!$AE:$AE,0)),"Not on Buffers",IF(NOT(ISNUMBER($B1654)),"Needs a date",IF(INT($B1654)&lt;PlanDate,"Past due",IF(INT($B1654)=PlanDate,"Due today",IF(AND(INDEX(Buffers!$L:$L,MATCH($H1654,Buffers!$AE:$AE,0))="Planned",$E1654&gt;0,INT($B1654)&lt;=PlanDate+ROUNDUP(IF(ISNUMBER(SpikeHorizon),SpikeHorizon,INDEX(Buffers!$D:$D,MATCH($H1654,Buffers!$AE:$AE,0))),0),$E1654&gt;=SpikePct*INDEX(Buffers!$P:$P,MATCH($H1654,Buffers!$AE:$AE,0))),"Spike","Not qualified"))))))</f>
        <v/>
      </c>
      <c r="G1654" s="8" t="str">
        <f aca="false">IF($A1654="","",IF(OR($F1654="Past due",$F1654="Due today",$F1654="Spike"),$C1654,0))</f>
        <v/>
      </c>
      <c r="H1654" s="8" t="str">
        <f aca="false">IF($A1654="","",SUBSTITUTE(SUBSTITUTE(SUBSTITUTE($A1654&amp;"","~","~~"),"*","~*"),"?","~?"))</f>
        <v/>
      </c>
    </row>
    <row r="1655" customFormat="false" ht="15" hidden="false" customHeight="false" outlineLevel="0" collapsed="false">
      <c r="A1655" s="11"/>
      <c r="B1655" s="6"/>
      <c r="C1655" s="11"/>
      <c r="D1655" s="11"/>
      <c r="E1655" s="8" t="str">
        <f aca="false">IF($A1655="","",SUMIFS($C:$C,$A:$A,$H1655,$B:$B,"&gt;="&amp;INT($B1655),$B:$B,"&lt;"&amp;(INT($B1655)+1)))</f>
        <v/>
      </c>
      <c r="F1655" s="19" t="str">
        <f aca="false">IF($A1655="","",IF(ISNA(MATCH($H1655,Buffers!$AE:$AE,0)),"Not on Buffers",IF(NOT(ISNUMBER($B1655)),"Needs a date",IF(INT($B1655)&lt;PlanDate,"Past due",IF(INT($B1655)=PlanDate,"Due today",IF(AND(INDEX(Buffers!$L:$L,MATCH($H1655,Buffers!$AE:$AE,0))="Planned",$E1655&gt;0,INT($B1655)&lt;=PlanDate+ROUNDUP(IF(ISNUMBER(SpikeHorizon),SpikeHorizon,INDEX(Buffers!$D:$D,MATCH($H1655,Buffers!$AE:$AE,0))),0),$E1655&gt;=SpikePct*INDEX(Buffers!$P:$P,MATCH($H1655,Buffers!$AE:$AE,0))),"Spike","Not qualified"))))))</f>
        <v/>
      </c>
      <c r="G1655" s="8" t="str">
        <f aca="false">IF($A1655="","",IF(OR($F1655="Past due",$F1655="Due today",$F1655="Spike"),$C1655,0))</f>
        <v/>
      </c>
      <c r="H1655" s="8" t="str">
        <f aca="false">IF($A1655="","",SUBSTITUTE(SUBSTITUTE(SUBSTITUTE($A1655&amp;"","~","~~"),"*","~*"),"?","~?"))</f>
        <v/>
      </c>
    </row>
    <row r="1656" customFormat="false" ht="15" hidden="false" customHeight="false" outlineLevel="0" collapsed="false">
      <c r="A1656" s="11"/>
      <c r="B1656" s="6"/>
      <c r="C1656" s="11"/>
      <c r="D1656" s="11"/>
      <c r="E1656" s="8" t="str">
        <f aca="false">IF($A1656="","",SUMIFS($C:$C,$A:$A,$H1656,$B:$B,"&gt;="&amp;INT($B1656),$B:$B,"&lt;"&amp;(INT($B1656)+1)))</f>
        <v/>
      </c>
      <c r="F1656" s="19" t="str">
        <f aca="false">IF($A1656="","",IF(ISNA(MATCH($H1656,Buffers!$AE:$AE,0)),"Not on Buffers",IF(NOT(ISNUMBER($B1656)),"Needs a date",IF(INT($B1656)&lt;PlanDate,"Past due",IF(INT($B1656)=PlanDate,"Due today",IF(AND(INDEX(Buffers!$L:$L,MATCH($H1656,Buffers!$AE:$AE,0))="Planned",$E1656&gt;0,INT($B1656)&lt;=PlanDate+ROUNDUP(IF(ISNUMBER(SpikeHorizon),SpikeHorizon,INDEX(Buffers!$D:$D,MATCH($H1656,Buffers!$AE:$AE,0))),0),$E1656&gt;=SpikePct*INDEX(Buffers!$P:$P,MATCH($H1656,Buffers!$AE:$AE,0))),"Spike","Not qualified"))))))</f>
        <v/>
      </c>
      <c r="G1656" s="8" t="str">
        <f aca="false">IF($A1656="","",IF(OR($F1656="Past due",$F1656="Due today",$F1656="Spike"),$C1656,0))</f>
        <v/>
      </c>
      <c r="H1656" s="8" t="str">
        <f aca="false">IF($A1656="","",SUBSTITUTE(SUBSTITUTE(SUBSTITUTE($A1656&amp;"","~","~~"),"*","~*"),"?","~?"))</f>
        <v/>
      </c>
    </row>
    <row r="1657" customFormat="false" ht="15" hidden="false" customHeight="false" outlineLevel="0" collapsed="false">
      <c r="A1657" s="11"/>
      <c r="B1657" s="6"/>
      <c r="C1657" s="11"/>
      <c r="D1657" s="11"/>
      <c r="E1657" s="8" t="str">
        <f aca="false">IF($A1657="","",SUMIFS($C:$C,$A:$A,$H1657,$B:$B,"&gt;="&amp;INT($B1657),$B:$B,"&lt;"&amp;(INT($B1657)+1)))</f>
        <v/>
      </c>
      <c r="F1657" s="19" t="str">
        <f aca="false">IF($A1657="","",IF(ISNA(MATCH($H1657,Buffers!$AE:$AE,0)),"Not on Buffers",IF(NOT(ISNUMBER($B1657)),"Needs a date",IF(INT($B1657)&lt;PlanDate,"Past due",IF(INT($B1657)=PlanDate,"Due today",IF(AND(INDEX(Buffers!$L:$L,MATCH($H1657,Buffers!$AE:$AE,0))="Planned",$E1657&gt;0,INT($B1657)&lt;=PlanDate+ROUNDUP(IF(ISNUMBER(SpikeHorizon),SpikeHorizon,INDEX(Buffers!$D:$D,MATCH($H1657,Buffers!$AE:$AE,0))),0),$E1657&gt;=SpikePct*INDEX(Buffers!$P:$P,MATCH($H1657,Buffers!$AE:$AE,0))),"Spike","Not qualified"))))))</f>
        <v/>
      </c>
      <c r="G1657" s="8" t="str">
        <f aca="false">IF($A1657="","",IF(OR($F1657="Past due",$F1657="Due today",$F1657="Spike"),$C1657,0))</f>
        <v/>
      </c>
      <c r="H1657" s="8" t="str">
        <f aca="false">IF($A1657="","",SUBSTITUTE(SUBSTITUTE(SUBSTITUTE($A1657&amp;"","~","~~"),"*","~*"),"?","~?"))</f>
        <v/>
      </c>
    </row>
    <row r="1658" customFormat="false" ht="15" hidden="false" customHeight="false" outlineLevel="0" collapsed="false">
      <c r="A1658" s="11"/>
      <c r="B1658" s="6"/>
      <c r="C1658" s="11"/>
      <c r="D1658" s="11"/>
      <c r="E1658" s="8" t="str">
        <f aca="false">IF($A1658="","",SUMIFS($C:$C,$A:$A,$H1658,$B:$B,"&gt;="&amp;INT($B1658),$B:$B,"&lt;"&amp;(INT($B1658)+1)))</f>
        <v/>
      </c>
      <c r="F1658" s="19" t="str">
        <f aca="false">IF($A1658="","",IF(ISNA(MATCH($H1658,Buffers!$AE:$AE,0)),"Not on Buffers",IF(NOT(ISNUMBER($B1658)),"Needs a date",IF(INT($B1658)&lt;PlanDate,"Past due",IF(INT($B1658)=PlanDate,"Due today",IF(AND(INDEX(Buffers!$L:$L,MATCH($H1658,Buffers!$AE:$AE,0))="Planned",$E1658&gt;0,INT($B1658)&lt;=PlanDate+ROUNDUP(IF(ISNUMBER(SpikeHorizon),SpikeHorizon,INDEX(Buffers!$D:$D,MATCH($H1658,Buffers!$AE:$AE,0))),0),$E1658&gt;=SpikePct*INDEX(Buffers!$P:$P,MATCH($H1658,Buffers!$AE:$AE,0))),"Spike","Not qualified"))))))</f>
        <v/>
      </c>
      <c r="G1658" s="8" t="str">
        <f aca="false">IF($A1658="","",IF(OR($F1658="Past due",$F1658="Due today",$F1658="Spike"),$C1658,0))</f>
        <v/>
      </c>
      <c r="H1658" s="8" t="str">
        <f aca="false">IF($A1658="","",SUBSTITUTE(SUBSTITUTE(SUBSTITUTE($A1658&amp;"","~","~~"),"*","~*"),"?","~?"))</f>
        <v/>
      </c>
    </row>
    <row r="1659" customFormat="false" ht="15" hidden="false" customHeight="false" outlineLevel="0" collapsed="false">
      <c r="A1659" s="11"/>
      <c r="B1659" s="6"/>
      <c r="C1659" s="11"/>
      <c r="D1659" s="11"/>
      <c r="E1659" s="8" t="str">
        <f aca="false">IF($A1659="","",SUMIFS($C:$C,$A:$A,$H1659,$B:$B,"&gt;="&amp;INT($B1659),$B:$B,"&lt;"&amp;(INT($B1659)+1)))</f>
        <v/>
      </c>
      <c r="F1659" s="19" t="str">
        <f aca="false">IF($A1659="","",IF(ISNA(MATCH($H1659,Buffers!$AE:$AE,0)),"Not on Buffers",IF(NOT(ISNUMBER($B1659)),"Needs a date",IF(INT($B1659)&lt;PlanDate,"Past due",IF(INT($B1659)=PlanDate,"Due today",IF(AND(INDEX(Buffers!$L:$L,MATCH($H1659,Buffers!$AE:$AE,0))="Planned",$E1659&gt;0,INT($B1659)&lt;=PlanDate+ROUNDUP(IF(ISNUMBER(SpikeHorizon),SpikeHorizon,INDEX(Buffers!$D:$D,MATCH($H1659,Buffers!$AE:$AE,0))),0),$E1659&gt;=SpikePct*INDEX(Buffers!$P:$P,MATCH($H1659,Buffers!$AE:$AE,0))),"Spike","Not qualified"))))))</f>
        <v/>
      </c>
      <c r="G1659" s="8" t="str">
        <f aca="false">IF($A1659="","",IF(OR($F1659="Past due",$F1659="Due today",$F1659="Spike"),$C1659,0))</f>
        <v/>
      </c>
      <c r="H1659" s="8" t="str">
        <f aca="false">IF($A1659="","",SUBSTITUTE(SUBSTITUTE(SUBSTITUTE($A1659&amp;"","~","~~"),"*","~*"),"?","~?"))</f>
        <v/>
      </c>
    </row>
    <row r="1660" customFormat="false" ht="15" hidden="false" customHeight="false" outlineLevel="0" collapsed="false">
      <c r="A1660" s="11"/>
      <c r="B1660" s="6"/>
      <c r="C1660" s="11"/>
      <c r="D1660" s="11"/>
      <c r="E1660" s="8" t="str">
        <f aca="false">IF($A1660="","",SUMIFS($C:$C,$A:$A,$H1660,$B:$B,"&gt;="&amp;INT($B1660),$B:$B,"&lt;"&amp;(INT($B1660)+1)))</f>
        <v/>
      </c>
      <c r="F1660" s="19" t="str">
        <f aca="false">IF($A1660="","",IF(ISNA(MATCH($H1660,Buffers!$AE:$AE,0)),"Not on Buffers",IF(NOT(ISNUMBER($B1660)),"Needs a date",IF(INT($B1660)&lt;PlanDate,"Past due",IF(INT($B1660)=PlanDate,"Due today",IF(AND(INDEX(Buffers!$L:$L,MATCH($H1660,Buffers!$AE:$AE,0))="Planned",$E1660&gt;0,INT($B1660)&lt;=PlanDate+ROUNDUP(IF(ISNUMBER(SpikeHorizon),SpikeHorizon,INDEX(Buffers!$D:$D,MATCH($H1660,Buffers!$AE:$AE,0))),0),$E1660&gt;=SpikePct*INDEX(Buffers!$P:$P,MATCH($H1660,Buffers!$AE:$AE,0))),"Spike","Not qualified"))))))</f>
        <v/>
      </c>
      <c r="G1660" s="8" t="str">
        <f aca="false">IF($A1660="","",IF(OR($F1660="Past due",$F1660="Due today",$F1660="Spike"),$C1660,0))</f>
        <v/>
      </c>
      <c r="H1660" s="8" t="str">
        <f aca="false">IF($A1660="","",SUBSTITUTE(SUBSTITUTE(SUBSTITUTE($A1660&amp;"","~","~~"),"*","~*"),"?","~?"))</f>
        <v/>
      </c>
    </row>
    <row r="1661" customFormat="false" ht="15" hidden="false" customHeight="false" outlineLevel="0" collapsed="false">
      <c r="A1661" s="11"/>
      <c r="B1661" s="6"/>
      <c r="C1661" s="11"/>
      <c r="D1661" s="11"/>
      <c r="E1661" s="8" t="str">
        <f aca="false">IF($A1661="","",SUMIFS($C:$C,$A:$A,$H1661,$B:$B,"&gt;="&amp;INT($B1661),$B:$B,"&lt;"&amp;(INT($B1661)+1)))</f>
        <v/>
      </c>
      <c r="F1661" s="19" t="str">
        <f aca="false">IF($A1661="","",IF(ISNA(MATCH($H1661,Buffers!$AE:$AE,0)),"Not on Buffers",IF(NOT(ISNUMBER($B1661)),"Needs a date",IF(INT($B1661)&lt;PlanDate,"Past due",IF(INT($B1661)=PlanDate,"Due today",IF(AND(INDEX(Buffers!$L:$L,MATCH($H1661,Buffers!$AE:$AE,0))="Planned",$E1661&gt;0,INT($B1661)&lt;=PlanDate+ROUNDUP(IF(ISNUMBER(SpikeHorizon),SpikeHorizon,INDEX(Buffers!$D:$D,MATCH($H1661,Buffers!$AE:$AE,0))),0),$E1661&gt;=SpikePct*INDEX(Buffers!$P:$P,MATCH($H1661,Buffers!$AE:$AE,0))),"Spike","Not qualified"))))))</f>
        <v/>
      </c>
      <c r="G1661" s="8" t="str">
        <f aca="false">IF($A1661="","",IF(OR($F1661="Past due",$F1661="Due today",$F1661="Spike"),$C1661,0))</f>
        <v/>
      </c>
      <c r="H1661" s="8" t="str">
        <f aca="false">IF($A1661="","",SUBSTITUTE(SUBSTITUTE(SUBSTITUTE($A1661&amp;"","~","~~"),"*","~*"),"?","~?"))</f>
        <v/>
      </c>
    </row>
    <row r="1662" customFormat="false" ht="15" hidden="false" customHeight="false" outlineLevel="0" collapsed="false">
      <c r="A1662" s="11"/>
      <c r="B1662" s="6"/>
      <c r="C1662" s="11"/>
      <c r="D1662" s="11"/>
      <c r="E1662" s="8" t="str">
        <f aca="false">IF($A1662="","",SUMIFS($C:$C,$A:$A,$H1662,$B:$B,"&gt;="&amp;INT($B1662),$B:$B,"&lt;"&amp;(INT($B1662)+1)))</f>
        <v/>
      </c>
      <c r="F1662" s="19" t="str">
        <f aca="false">IF($A1662="","",IF(ISNA(MATCH($H1662,Buffers!$AE:$AE,0)),"Not on Buffers",IF(NOT(ISNUMBER($B1662)),"Needs a date",IF(INT($B1662)&lt;PlanDate,"Past due",IF(INT($B1662)=PlanDate,"Due today",IF(AND(INDEX(Buffers!$L:$L,MATCH($H1662,Buffers!$AE:$AE,0))="Planned",$E1662&gt;0,INT($B1662)&lt;=PlanDate+ROUNDUP(IF(ISNUMBER(SpikeHorizon),SpikeHorizon,INDEX(Buffers!$D:$D,MATCH($H1662,Buffers!$AE:$AE,0))),0),$E1662&gt;=SpikePct*INDEX(Buffers!$P:$P,MATCH($H1662,Buffers!$AE:$AE,0))),"Spike","Not qualified"))))))</f>
        <v/>
      </c>
      <c r="G1662" s="8" t="str">
        <f aca="false">IF($A1662="","",IF(OR($F1662="Past due",$F1662="Due today",$F1662="Spike"),$C1662,0))</f>
        <v/>
      </c>
      <c r="H1662" s="8" t="str">
        <f aca="false">IF($A1662="","",SUBSTITUTE(SUBSTITUTE(SUBSTITUTE($A1662&amp;"","~","~~"),"*","~*"),"?","~?"))</f>
        <v/>
      </c>
    </row>
    <row r="1663" customFormat="false" ht="15" hidden="false" customHeight="false" outlineLevel="0" collapsed="false">
      <c r="A1663" s="11"/>
      <c r="B1663" s="6"/>
      <c r="C1663" s="11"/>
      <c r="D1663" s="11"/>
      <c r="E1663" s="8" t="str">
        <f aca="false">IF($A1663="","",SUMIFS($C:$C,$A:$A,$H1663,$B:$B,"&gt;="&amp;INT($B1663),$B:$B,"&lt;"&amp;(INT($B1663)+1)))</f>
        <v/>
      </c>
      <c r="F1663" s="19" t="str">
        <f aca="false">IF($A1663="","",IF(ISNA(MATCH($H1663,Buffers!$AE:$AE,0)),"Not on Buffers",IF(NOT(ISNUMBER($B1663)),"Needs a date",IF(INT($B1663)&lt;PlanDate,"Past due",IF(INT($B1663)=PlanDate,"Due today",IF(AND(INDEX(Buffers!$L:$L,MATCH($H1663,Buffers!$AE:$AE,0))="Planned",$E1663&gt;0,INT($B1663)&lt;=PlanDate+ROUNDUP(IF(ISNUMBER(SpikeHorizon),SpikeHorizon,INDEX(Buffers!$D:$D,MATCH($H1663,Buffers!$AE:$AE,0))),0),$E1663&gt;=SpikePct*INDEX(Buffers!$P:$P,MATCH($H1663,Buffers!$AE:$AE,0))),"Spike","Not qualified"))))))</f>
        <v/>
      </c>
      <c r="G1663" s="8" t="str">
        <f aca="false">IF($A1663="","",IF(OR($F1663="Past due",$F1663="Due today",$F1663="Spike"),$C1663,0))</f>
        <v/>
      </c>
      <c r="H1663" s="8" t="str">
        <f aca="false">IF($A1663="","",SUBSTITUTE(SUBSTITUTE(SUBSTITUTE($A1663&amp;"","~","~~"),"*","~*"),"?","~?"))</f>
        <v/>
      </c>
    </row>
    <row r="1664" customFormat="false" ht="15" hidden="false" customHeight="false" outlineLevel="0" collapsed="false">
      <c r="A1664" s="11"/>
      <c r="B1664" s="6"/>
      <c r="C1664" s="11"/>
      <c r="D1664" s="11"/>
      <c r="E1664" s="8" t="str">
        <f aca="false">IF($A1664="","",SUMIFS($C:$C,$A:$A,$H1664,$B:$B,"&gt;="&amp;INT($B1664),$B:$B,"&lt;"&amp;(INT($B1664)+1)))</f>
        <v/>
      </c>
      <c r="F1664" s="19" t="str">
        <f aca="false">IF($A1664="","",IF(ISNA(MATCH($H1664,Buffers!$AE:$AE,0)),"Not on Buffers",IF(NOT(ISNUMBER($B1664)),"Needs a date",IF(INT($B1664)&lt;PlanDate,"Past due",IF(INT($B1664)=PlanDate,"Due today",IF(AND(INDEX(Buffers!$L:$L,MATCH($H1664,Buffers!$AE:$AE,0))="Planned",$E1664&gt;0,INT($B1664)&lt;=PlanDate+ROUNDUP(IF(ISNUMBER(SpikeHorizon),SpikeHorizon,INDEX(Buffers!$D:$D,MATCH($H1664,Buffers!$AE:$AE,0))),0),$E1664&gt;=SpikePct*INDEX(Buffers!$P:$P,MATCH($H1664,Buffers!$AE:$AE,0))),"Spike","Not qualified"))))))</f>
        <v/>
      </c>
      <c r="G1664" s="8" t="str">
        <f aca="false">IF($A1664="","",IF(OR($F1664="Past due",$F1664="Due today",$F1664="Spike"),$C1664,0))</f>
        <v/>
      </c>
      <c r="H1664" s="8" t="str">
        <f aca="false">IF($A1664="","",SUBSTITUTE(SUBSTITUTE(SUBSTITUTE($A1664&amp;"","~","~~"),"*","~*"),"?","~?"))</f>
        <v/>
      </c>
    </row>
    <row r="1665" customFormat="false" ht="15" hidden="false" customHeight="false" outlineLevel="0" collapsed="false">
      <c r="A1665" s="11"/>
      <c r="B1665" s="6"/>
      <c r="C1665" s="11"/>
      <c r="D1665" s="11"/>
      <c r="E1665" s="8" t="str">
        <f aca="false">IF($A1665="","",SUMIFS($C:$C,$A:$A,$H1665,$B:$B,"&gt;="&amp;INT($B1665),$B:$B,"&lt;"&amp;(INT($B1665)+1)))</f>
        <v/>
      </c>
      <c r="F1665" s="19" t="str">
        <f aca="false">IF($A1665="","",IF(ISNA(MATCH($H1665,Buffers!$AE:$AE,0)),"Not on Buffers",IF(NOT(ISNUMBER($B1665)),"Needs a date",IF(INT($B1665)&lt;PlanDate,"Past due",IF(INT($B1665)=PlanDate,"Due today",IF(AND(INDEX(Buffers!$L:$L,MATCH($H1665,Buffers!$AE:$AE,0))="Planned",$E1665&gt;0,INT($B1665)&lt;=PlanDate+ROUNDUP(IF(ISNUMBER(SpikeHorizon),SpikeHorizon,INDEX(Buffers!$D:$D,MATCH($H1665,Buffers!$AE:$AE,0))),0),$E1665&gt;=SpikePct*INDEX(Buffers!$P:$P,MATCH($H1665,Buffers!$AE:$AE,0))),"Spike","Not qualified"))))))</f>
        <v/>
      </c>
      <c r="G1665" s="8" t="str">
        <f aca="false">IF($A1665="","",IF(OR($F1665="Past due",$F1665="Due today",$F1665="Spike"),$C1665,0))</f>
        <v/>
      </c>
      <c r="H1665" s="8" t="str">
        <f aca="false">IF($A1665="","",SUBSTITUTE(SUBSTITUTE(SUBSTITUTE($A1665&amp;"","~","~~"),"*","~*"),"?","~?"))</f>
        <v/>
      </c>
    </row>
    <row r="1666" customFormat="false" ht="15" hidden="false" customHeight="false" outlineLevel="0" collapsed="false">
      <c r="A1666" s="11"/>
      <c r="B1666" s="6"/>
      <c r="C1666" s="11"/>
      <c r="D1666" s="11"/>
      <c r="E1666" s="8" t="str">
        <f aca="false">IF($A1666="","",SUMIFS($C:$C,$A:$A,$H1666,$B:$B,"&gt;="&amp;INT($B1666),$B:$B,"&lt;"&amp;(INT($B1666)+1)))</f>
        <v/>
      </c>
      <c r="F1666" s="19" t="str">
        <f aca="false">IF($A1666="","",IF(ISNA(MATCH($H1666,Buffers!$AE:$AE,0)),"Not on Buffers",IF(NOT(ISNUMBER($B1666)),"Needs a date",IF(INT($B1666)&lt;PlanDate,"Past due",IF(INT($B1666)=PlanDate,"Due today",IF(AND(INDEX(Buffers!$L:$L,MATCH($H1666,Buffers!$AE:$AE,0))="Planned",$E1666&gt;0,INT($B1666)&lt;=PlanDate+ROUNDUP(IF(ISNUMBER(SpikeHorizon),SpikeHorizon,INDEX(Buffers!$D:$D,MATCH($H1666,Buffers!$AE:$AE,0))),0),$E1666&gt;=SpikePct*INDEX(Buffers!$P:$P,MATCH($H1666,Buffers!$AE:$AE,0))),"Spike","Not qualified"))))))</f>
        <v/>
      </c>
      <c r="G1666" s="8" t="str">
        <f aca="false">IF($A1666="","",IF(OR($F1666="Past due",$F1666="Due today",$F1666="Spike"),$C1666,0))</f>
        <v/>
      </c>
      <c r="H1666" s="8" t="str">
        <f aca="false">IF($A1666="","",SUBSTITUTE(SUBSTITUTE(SUBSTITUTE($A1666&amp;"","~","~~"),"*","~*"),"?","~?"))</f>
        <v/>
      </c>
    </row>
    <row r="1667" customFormat="false" ht="15" hidden="false" customHeight="false" outlineLevel="0" collapsed="false">
      <c r="A1667" s="11"/>
      <c r="B1667" s="6"/>
      <c r="C1667" s="11"/>
      <c r="D1667" s="11"/>
      <c r="E1667" s="8" t="str">
        <f aca="false">IF($A1667="","",SUMIFS($C:$C,$A:$A,$H1667,$B:$B,"&gt;="&amp;INT($B1667),$B:$B,"&lt;"&amp;(INT($B1667)+1)))</f>
        <v/>
      </c>
      <c r="F1667" s="19" t="str">
        <f aca="false">IF($A1667="","",IF(ISNA(MATCH($H1667,Buffers!$AE:$AE,0)),"Not on Buffers",IF(NOT(ISNUMBER($B1667)),"Needs a date",IF(INT($B1667)&lt;PlanDate,"Past due",IF(INT($B1667)=PlanDate,"Due today",IF(AND(INDEX(Buffers!$L:$L,MATCH($H1667,Buffers!$AE:$AE,0))="Planned",$E1667&gt;0,INT($B1667)&lt;=PlanDate+ROUNDUP(IF(ISNUMBER(SpikeHorizon),SpikeHorizon,INDEX(Buffers!$D:$D,MATCH($H1667,Buffers!$AE:$AE,0))),0),$E1667&gt;=SpikePct*INDEX(Buffers!$P:$P,MATCH($H1667,Buffers!$AE:$AE,0))),"Spike","Not qualified"))))))</f>
        <v/>
      </c>
      <c r="G1667" s="8" t="str">
        <f aca="false">IF($A1667="","",IF(OR($F1667="Past due",$F1667="Due today",$F1667="Spike"),$C1667,0))</f>
        <v/>
      </c>
      <c r="H1667" s="8" t="str">
        <f aca="false">IF($A1667="","",SUBSTITUTE(SUBSTITUTE(SUBSTITUTE($A1667&amp;"","~","~~"),"*","~*"),"?","~?"))</f>
        <v/>
      </c>
    </row>
    <row r="1668" customFormat="false" ht="15" hidden="false" customHeight="false" outlineLevel="0" collapsed="false">
      <c r="A1668" s="11"/>
      <c r="B1668" s="6"/>
      <c r="C1668" s="11"/>
      <c r="D1668" s="11"/>
      <c r="E1668" s="8" t="str">
        <f aca="false">IF($A1668="","",SUMIFS($C:$C,$A:$A,$H1668,$B:$B,"&gt;="&amp;INT($B1668),$B:$B,"&lt;"&amp;(INT($B1668)+1)))</f>
        <v/>
      </c>
      <c r="F1668" s="19" t="str">
        <f aca="false">IF($A1668="","",IF(ISNA(MATCH($H1668,Buffers!$AE:$AE,0)),"Not on Buffers",IF(NOT(ISNUMBER($B1668)),"Needs a date",IF(INT($B1668)&lt;PlanDate,"Past due",IF(INT($B1668)=PlanDate,"Due today",IF(AND(INDEX(Buffers!$L:$L,MATCH($H1668,Buffers!$AE:$AE,0))="Planned",$E1668&gt;0,INT($B1668)&lt;=PlanDate+ROUNDUP(IF(ISNUMBER(SpikeHorizon),SpikeHorizon,INDEX(Buffers!$D:$D,MATCH($H1668,Buffers!$AE:$AE,0))),0),$E1668&gt;=SpikePct*INDEX(Buffers!$P:$P,MATCH($H1668,Buffers!$AE:$AE,0))),"Spike","Not qualified"))))))</f>
        <v/>
      </c>
      <c r="G1668" s="8" t="str">
        <f aca="false">IF($A1668="","",IF(OR($F1668="Past due",$F1668="Due today",$F1668="Spike"),$C1668,0))</f>
        <v/>
      </c>
      <c r="H1668" s="8" t="str">
        <f aca="false">IF($A1668="","",SUBSTITUTE(SUBSTITUTE(SUBSTITUTE($A1668&amp;"","~","~~"),"*","~*"),"?","~?"))</f>
        <v/>
      </c>
    </row>
    <row r="1669" customFormat="false" ht="15" hidden="false" customHeight="false" outlineLevel="0" collapsed="false">
      <c r="A1669" s="11"/>
      <c r="B1669" s="6"/>
      <c r="C1669" s="11"/>
      <c r="D1669" s="11"/>
      <c r="E1669" s="8" t="str">
        <f aca="false">IF($A1669="","",SUMIFS($C:$C,$A:$A,$H1669,$B:$B,"&gt;="&amp;INT($B1669),$B:$B,"&lt;"&amp;(INT($B1669)+1)))</f>
        <v/>
      </c>
      <c r="F1669" s="19" t="str">
        <f aca="false">IF($A1669="","",IF(ISNA(MATCH($H1669,Buffers!$AE:$AE,0)),"Not on Buffers",IF(NOT(ISNUMBER($B1669)),"Needs a date",IF(INT($B1669)&lt;PlanDate,"Past due",IF(INT($B1669)=PlanDate,"Due today",IF(AND(INDEX(Buffers!$L:$L,MATCH($H1669,Buffers!$AE:$AE,0))="Planned",$E1669&gt;0,INT($B1669)&lt;=PlanDate+ROUNDUP(IF(ISNUMBER(SpikeHorizon),SpikeHorizon,INDEX(Buffers!$D:$D,MATCH($H1669,Buffers!$AE:$AE,0))),0),$E1669&gt;=SpikePct*INDEX(Buffers!$P:$P,MATCH($H1669,Buffers!$AE:$AE,0))),"Spike","Not qualified"))))))</f>
        <v/>
      </c>
      <c r="G1669" s="8" t="str">
        <f aca="false">IF($A1669="","",IF(OR($F1669="Past due",$F1669="Due today",$F1669="Spike"),$C1669,0))</f>
        <v/>
      </c>
      <c r="H1669" s="8" t="str">
        <f aca="false">IF($A1669="","",SUBSTITUTE(SUBSTITUTE(SUBSTITUTE($A1669&amp;"","~","~~"),"*","~*"),"?","~?"))</f>
        <v/>
      </c>
    </row>
    <row r="1670" customFormat="false" ht="15" hidden="false" customHeight="false" outlineLevel="0" collapsed="false">
      <c r="A1670" s="11"/>
      <c r="B1670" s="6"/>
      <c r="C1670" s="11"/>
      <c r="D1670" s="11"/>
      <c r="E1670" s="8" t="str">
        <f aca="false">IF($A1670="","",SUMIFS($C:$C,$A:$A,$H1670,$B:$B,"&gt;="&amp;INT($B1670),$B:$B,"&lt;"&amp;(INT($B1670)+1)))</f>
        <v/>
      </c>
      <c r="F1670" s="19" t="str">
        <f aca="false">IF($A1670="","",IF(ISNA(MATCH($H1670,Buffers!$AE:$AE,0)),"Not on Buffers",IF(NOT(ISNUMBER($B1670)),"Needs a date",IF(INT($B1670)&lt;PlanDate,"Past due",IF(INT($B1670)=PlanDate,"Due today",IF(AND(INDEX(Buffers!$L:$L,MATCH($H1670,Buffers!$AE:$AE,0))="Planned",$E1670&gt;0,INT($B1670)&lt;=PlanDate+ROUNDUP(IF(ISNUMBER(SpikeHorizon),SpikeHorizon,INDEX(Buffers!$D:$D,MATCH($H1670,Buffers!$AE:$AE,0))),0),$E1670&gt;=SpikePct*INDEX(Buffers!$P:$P,MATCH($H1670,Buffers!$AE:$AE,0))),"Spike","Not qualified"))))))</f>
        <v/>
      </c>
      <c r="G1670" s="8" t="str">
        <f aca="false">IF($A1670="","",IF(OR($F1670="Past due",$F1670="Due today",$F1670="Spike"),$C1670,0))</f>
        <v/>
      </c>
      <c r="H1670" s="8" t="str">
        <f aca="false">IF($A1670="","",SUBSTITUTE(SUBSTITUTE(SUBSTITUTE($A1670&amp;"","~","~~"),"*","~*"),"?","~?"))</f>
        <v/>
      </c>
    </row>
    <row r="1671" customFormat="false" ht="15" hidden="false" customHeight="false" outlineLevel="0" collapsed="false">
      <c r="A1671" s="11"/>
      <c r="B1671" s="6"/>
      <c r="C1671" s="11"/>
      <c r="D1671" s="11"/>
      <c r="E1671" s="8" t="str">
        <f aca="false">IF($A1671="","",SUMIFS($C:$C,$A:$A,$H1671,$B:$B,"&gt;="&amp;INT($B1671),$B:$B,"&lt;"&amp;(INT($B1671)+1)))</f>
        <v/>
      </c>
      <c r="F1671" s="19" t="str">
        <f aca="false">IF($A1671="","",IF(ISNA(MATCH($H1671,Buffers!$AE:$AE,0)),"Not on Buffers",IF(NOT(ISNUMBER($B1671)),"Needs a date",IF(INT($B1671)&lt;PlanDate,"Past due",IF(INT($B1671)=PlanDate,"Due today",IF(AND(INDEX(Buffers!$L:$L,MATCH($H1671,Buffers!$AE:$AE,0))="Planned",$E1671&gt;0,INT($B1671)&lt;=PlanDate+ROUNDUP(IF(ISNUMBER(SpikeHorizon),SpikeHorizon,INDEX(Buffers!$D:$D,MATCH($H1671,Buffers!$AE:$AE,0))),0),$E1671&gt;=SpikePct*INDEX(Buffers!$P:$P,MATCH($H1671,Buffers!$AE:$AE,0))),"Spike","Not qualified"))))))</f>
        <v/>
      </c>
      <c r="G1671" s="8" t="str">
        <f aca="false">IF($A1671="","",IF(OR($F1671="Past due",$F1671="Due today",$F1671="Spike"),$C1671,0))</f>
        <v/>
      </c>
      <c r="H1671" s="8" t="str">
        <f aca="false">IF($A1671="","",SUBSTITUTE(SUBSTITUTE(SUBSTITUTE($A1671&amp;"","~","~~"),"*","~*"),"?","~?"))</f>
        <v/>
      </c>
    </row>
    <row r="1672" customFormat="false" ht="15" hidden="false" customHeight="false" outlineLevel="0" collapsed="false">
      <c r="A1672" s="11"/>
      <c r="B1672" s="6"/>
      <c r="C1672" s="11"/>
      <c r="D1672" s="11"/>
      <c r="E1672" s="8" t="str">
        <f aca="false">IF($A1672="","",SUMIFS($C:$C,$A:$A,$H1672,$B:$B,"&gt;="&amp;INT($B1672),$B:$B,"&lt;"&amp;(INT($B1672)+1)))</f>
        <v/>
      </c>
      <c r="F1672" s="19" t="str">
        <f aca="false">IF($A1672="","",IF(ISNA(MATCH($H1672,Buffers!$AE:$AE,0)),"Not on Buffers",IF(NOT(ISNUMBER($B1672)),"Needs a date",IF(INT($B1672)&lt;PlanDate,"Past due",IF(INT($B1672)=PlanDate,"Due today",IF(AND(INDEX(Buffers!$L:$L,MATCH($H1672,Buffers!$AE:$AE,0))="Planned",$E1672&gt;0,INT($B1672)&lt;=PlanDate+ROUNDUP(IF(ISNUMBER(SpikeHorizon),SpikeHorizon,INDEX(Buffers!$D:$D,MATCH($H1672,Buffers!$AE:$AE,0))),0),$E1672&gt;=SpikePct*INDEX(Buffers!$P:$P,MATCH($H1672,Buffers!$AE:$AE,0))),"Spike","Not qualified"))))))</f>
        <v/>
      </c>
      <c r="G1672" s="8" t="str">
        <f aca="false">IF($A1672="","",IF(OR($F1672="Past due",$F1672="Due today",$F1672="Spike"),$C1672,0))</f>
        <v/>
      </c>
      <c r="H1672" s="8" t="str">
        <f aca="false">IF($A1672="","",SUBSTITUTE(SUBSTITUTE(SUBSTITUTE($A1672&amp;"","~","~~"),"*","~*"),"?","~?"))</f>
        <v/>
      </c>
    </row>
    <row r="1673" customFormat="false" ht="15" hidden="false" customHeight="false" outlineLevel="0" collapsed="false">
      <c r="A1673" s="11"/>
      <c r="B1673" s="6"/>
      <c r="C1673" s="11"/>
      <c r="D1673" s="11"/>
      <c r="E1673" s="8" t="str">
        <f aca="false">IF($A1673="","",SUMIFS($C:$C,$A:$A,$H1673,$B:$B,"&gt;="&amp;INT($B1673),$B:$B,"&lt;"&amp;(INT($B1673)+1)))</f>
        <v/>
      </c>
      <c r="F1673" s="19" t="str">
        <f aca="false">IF($A1673="","",IF(ISNA(MATCH($H1673,Buffers!$AE:$AE,0)),"Not on Buffers",IF(NOT(ISNUMBER($B1673)),"Needs a date",IF(INT($B1673)&lt;PlanDate,"Past due",IF(INT($B1673)=PlanDate,"Due today",IF(AND(INDEX(Buffers!$L:$L,MATCH($H1673,Buffers!$AE:$AE,0))="Planned",$E1673&gt;0,INT($B1673)&lt;=PlanDate+ROUNDUP(IF(ISNUMBER(SpikeHorizon),SpikeHorizon,INDEX(Buffers!$D:$D,MATCH($H1673,Buffers!$AE:$AE,0))),0),$E1673&gt;=SpikePct*INDEX(Buffers!$P:$P,MATCH($H1673,Buffers!$AE:$AE,0))),"Spike","Not qualified"))))))</f>
        <v/>
      </c>
      <c r="G1673" s="8" t="str">
        <f aca="false">IF($A1673="","",IF(OR($F1673="Past due",$F1673="Due today",$F1673="Spike"),$C1673,0))</f>
        <v/>
      </c>
      <c r="H1673" s="8" t="str">
        <f aca="false">IF($A1673="","",SUBSTITUTE(SUBSTITUTE(SUBSTITUTE($A1673&amp;"","~","~~"),"*","~*"),"?","~?"))</f>
        <v/>
      </c>
    </row>
    <row r="1674" customFormat="false" ht="15" hidden="false" customHeight="false" outlineLevel="0" collapsed="false">
      <c r="A1674" s="11"/>
      <c r="B1674" s="6"/>
      <c r="C1674" s="11"/>
      <c r="D1674" s="11"/>
      <c r="E1674" s="8" t="str">
        <f aca="false">IF($A1674="","",SUMIFS($C:$C,$A:$A,$H1674,$B:$B,"&gt;="&amp;INT($B1674),$B:$B,"&lt;"&amp;(INT($B1674)+1)))</f>
        <v/>
      </c>
      <c r="F1674" s="19" t="str">
        <f aca="false">IF($A1674="","",IF(ISNA(MATCH($H1674,Buffers!$AE:$AE,0)),"Not on Buffers",IF(NOT(ISNUMBER($B1674)),"Needs a date",IF(INT($B1674)&lt;PlanDate,"Past due",IF(INT($B1674)=PlanDate,"Due today",IF(AND(INDEX(Buffers!$L:$L,MATCH($H1674,Buffers!$AE:$AE,0))="Planned",$E1674&gt;0,INT($B1674)&lt;=PlanDate+ROUNDUP(IF(ISNUMBER(SpikeHorizon),SpikeHorizon,INDEX(Buffers!$D:$D,MATCH($H1674,Buffers!$AE:$AE,0))),0),$E1674&gt;=SpikePct*INDEX(Buffers!$P:$P,MATCH($H1674,Buffers!$AE:$AE,0))),"Spike","Not qualified"))))))</f>
        <v/>
      </c>
      <c r="G1674" s="8" t="str">
        <f aca="false">IF($A1674="","",IF(OR($F1674="Past due",$F1674="Due today",$F1674="Spike"),$C1674,0))</f>
        <v/>
      </c>
      <c r="H1674" s="8" t="str">
        <f aca="false">IF($A1674="","",SUBSTITUTE(SUBSTITUTE(SUBSTITUTE($A1674&amp;"","~","~~"),"*","~*"),"?","~?"))</f>
        <v/>
      </c>
    </row>
    <row r="1675" customFormat="false" ht="15" hidden="false" customHeight="false" outlineLevel="0" collapsed="false">
      <c r="A1675" s="11"/>
      <c r="B1675" s="6"/>
      <c r="C1675" s="11"/>
      <c r="D1675" s="11"/>
      <c r="E1675" s="8" t="str">
        <f aca="false">IF($A1675="","",SUMIFS($C:$C,$A:$A,$H1675,$B:$B,"&gt;="&amp;INT($B1675),$B:$B,"&lt;"&amp;(INT($B1675)+1)))</f>
        <v/>
      </c>
      <c r="F1675" s="19" t="str">
        <f aca="false">IF($A1675="","",IF(ISNA(MATCH($H1675,Buffers!$AE:$AE,0)),"Not on Buffers",IF(NOT(ISNUMBER($B1675)),"Needs a date",IF(INT($B1675)&lt;PlanDate,"Past due",IF(INT($B1675)=PlanDate,"Due today",IF(AND(INDEX(Buffers!$L:$L,MATCH($H1675,Buffers!$AE:$AE,0))="Planned",$E1675&gt;0,INT($B1675)&lt;=PlanDate+ROUNDUP(IF(ISNUMBER(SpikeHorizon),SpikeHorizon,INDEX(Buffers!$D:$D,MATCH($H1675,Buffers!$AE:$AE,0))),0),$E1675&gt;=SpikePct*INDEX(Buffers!$P:$P,MATCH($H1675,Buffers!$AE:$AE,0))),"Spike","Not qualified"))))))</f>
        <v/>
      </c>
      <c r="G1675" s="8" t="str">
        <f aca="false">IF($A1675="","",IF(OR($F1675="Past due",$F1675="Due today",$F1675="Spike"),$C1675,0))</f>
        <v/>
      </c>
      <c r="H1675" s="8" t="str">
        <f aca="false">IF($A1675="","",SUBSTITUTE(SUBSTITUTE(SUBSTITUTE($A1675&amp;"","~","~~"),"*","~*"),"?","~?"))</f>
        <v/>
      </c>
    </row>
    <row r="1676" customFormat="false" ht="15" hidden="false" customHeight="false" outlineLevel="0" collapsed="false">
      <c r="A1676" s="11"/>
      <c r="B1676" s="6"/>
      <c r="C1676" s="11"/>
      <c r="D1676" s="11"/>
      <c r="E1676" s="8" t="str">
        <f aca="false">IF($A1676="","",SUMIFS($C:$C,$A:$A,$H1676,$B:$B,"&gt;="&amp;INT($B1676),$B:$B,"&lt;"&amp;(INT($B1676)+1)))</f>
        <v/>
      </c>
      <c r="F1676" s="19" t="str">
        <f aca="false">IF($A1676="","",IF(ISNA(MATCH($H1676,Buffers!$AE:$AE,0)),"Not on Buffers",IF(NOT(ISNUMBER($B1676)),"Needs a date",IF(INT($B1676)&lt;PlanDate,"Past due",IF(INT($B1676)=PlanDate,"Due today",IF(AND(INDEX(Buffers!$L:$L,MATCH($H1676,Buffers!$AE:$AE,0))="Planned",$E1676&gt;0,INT($B1676)&lt;=PlanDate+ROUNDUP(IF(ISNUMBER(SpikeHorizon),SpikeHorizon,INDEX(Buffers!$D:$D,MATCH($H1676,Buffers!$AE:$AE,0))),0),$E1676&gt;=SpikePct*INDEX(Buffers!$P:$P,MATCH($H1676,Buffers!$AE:$AE,0))),"Spike","Not qualified"))))))</f>
        <v/>
      </c>
      <c r="G1676" s="8" t="str">
        <f aca="false">IF($A1676="","",IF(OR($F1676="Past due",$F1676="Due today",$F1676="Spike"),$C1676,0))</f>
        <v/>
      </c>
      <c r="H1676" s="8" t="str">
        <f aca="false">IF($A1676="","",SUBSTITUTE(SUBSTITUTE(SUBSTITUTE($A1676&amp;"","~","~~"),"*","~*"),"?","~?"))</f>
        <v/>
      </c>
    </row>
    <row r="1677" customFormat="false" ht="15" hidden="false" customHeight="false" outlineLevel="0" collapsed="false">
      <c r="A1677" s="11"/>
      <c r="B1677" s="6"/>
      <c r="C1677" s="11"/>
      <c r="D1677" s="11"/>
      <c r="E1677" s="8" t="str">
        <f aca="false">IF($A1677="","",SUMIFS($C:$C,$A:$A,$H1677,$B:$B,"&gt;="&amp;INT($B1677),$B:$B,"&lt;"&amp;(INT($B1677)+1)))</f>
        <v/>
      </c>
      <c r="F1677" s="19" t="str">
        <f aca="false">IF($A1677="","",IF(ISNA(MATCH($H1677,Buffers!$AE:$AE,0)),"Not on Buffers",IF(NOT(ISNUMBER($B1677)),"Needs a date",IF(INT($B1677)&lt;PlanDate,"Past due",IF(INT($B1677)=PlanDate,"Due today",IF(AND(INDEX(Buffers!$L:$L,MATCH($H1677,Buffers!$AE:$AE,0))="Planned",$E1677&gt;0,INT($B1677)&lt;=PlanDate+ROUNDUP(IF(ISNUMBER(SpikeHorizon),SpikeHorizon,INDEX(Buffers!$D:$D,MATCH($H1677,Buffers!$AE:$AE,0))),0),$E1677&gt;=SpikePct*INDEX(Buffers!$P:$P,MATCH($H1677,Buffers!$AE:$AE,0))),"Spike","Not qualified"))))))</f>
        <v/>
      </c>
      <c r="G1677" s="8" t="str">
        <f aca="false">IF($A1677="","",IF(OR($F1677="Past due",$F1677="Due today",$F1677="Spike"),$C1677,0))</f>
        <v/>
      </c>
      <c r="H1677" s="8" t="str">
        <f aca="false">IF($A1677="","",SUBSTITUTE(SUBSTITUTE(SUBSTITUTE($A1677&amp;"","~","~~"),"*","~*"),"?","~?"))</f>
        <v/>
      </c>
    </row>
    <row r="1678" customFormat="false" ht="15" hidden="false" customHeight="false" outlineLevel="0" collapsed="false">
      <c r="A1678" s="11"/>
      <c r="B1678" s="6"/>
      <c r="C1678" s="11"/>
      <c r="D1678" s="11"/>
      <c r="E1678" s="8" t="str">
        <f aca="false">IF($A1678="","",SUMIFS($C:$C,$A:$A,$H1678,$B:$B,"&gt;="&amp;INT($B1678),$B:$B,"&lt;"&amp;(INT($B1678)+1)))</f>
        <v/>
      </c>
      <c r="F1678" s="19" t="str">
        <f aca="false">IF($A1678="","",IF(ISNA(MATCH($H1678,Buffers!$AE:$AE,0)),"Not on Buffers",IF(NOT(ISNUMBER($B1678)),"Needs a date",IF(INT($B1678)&lt;PlanDate,"Past due",IF(INT($B1678)=PlanDate,"Due today",IF(AND(INDEX(Buffers!$L:$L,MATCH($H1678,Buffers!$AE:$AE,0))="Planned",$E1678&gt;0,INT($B1678)&lt;=PlanDate+ROUNDUP(IF(ISNUMBER(SpikeHorizon),SpikeHorizon,INDEX(Buffers!$D:$D,MATCH($H1678,Buffers!$AE:$AE,0))),0),$E1678&gt;=SpikePct*INDEX(Buffers!$P:$P,MATCH($H1678,Buffers!$AE:$AE,0))),"Spike","Not qualified"))))))</f>
        <v/>
      </c>
      <c r="G1678" s="8" t="str">
        <f aca="false">IF($A1678="","",IF(OR($F1678="Past due",$F1678="Due today",$F1678="Spike"),$C1678,0))</f>
        <v/>
      </c>
      <c r="H1678" s="8" t="str">
        <f aca="false">IF($A1678="","",SUBSTITUTE(SUBSTITUTE(SUBSTITUTE($A1678&amp;"","~","~~"),"*","~*"),"?","~?"))</f>
        <v/>
      </c>
    </row>
    <row r="1679" customFormat="false" ht="15" hidden="false" customHeight="false" outlineLevel="0" collapsed="false">
      <c r="A1679" s="11"/>
      <c r="B1679" s="6"/>
      <c r="C1679" s="11"/>
      <c r="D1679" s="11"/>
      <c r="E1679" s="8" t="str">
        <f aca="false">IF($A1679="","",SUMIFS($C:$C,$A:$A,$H1679,$B:$B,"&gt;="&amp;INT($B1679),$B:$B,"&lt;"&amp;(INT($B1679)+1)))</f>
        <v/>
      </c>
      <c r="F1679" s="19" t="str">
        <f aca="false">IF($A1679="","",IF(ISNA(MATCH($H1679,Buffers!$AE:$AE,0)),"Not on Buffers",IF(NOT(ISNUMBER($B1679)),"Needs a date",IF(INT($B1679)&lt;PlanDate,"Past due",IF(INT($B1679)=PlanDate,"Due today",IF(AND(INDEX(Buffers!$L:$L,MATCH($H1679,Buffers!$AE:$AE,0))="Planned",$E1679&gt;0,INT($B1679)&lt;=PlanDate+ROUNDUP(IF(ISNUMBER(SpikeHorizon),SpikeHorizon,INDEX(Buffers!$D:$D,MATCH($H1679,Buffers!$AE:$AE,0))),0),$E1679&gt;=SpikePct*INDEX(Buffers!$P:$P,MATCH($H1679,Buffers!$AE:$AE,0))),"Spike","Not qualified"))))))</f>
        <v/>
      </c>
      <c r="G1679" s="8" t="str">
        <f aca="false">IF($A1679="","",IF(OR($F1679="Past due",$F1679="Due today",$F1679="Spike"),$C1679,0))</f>
        <v/>
      </c>
      <c r="H1679" s="8" t="str">
        <f aca="false">IF($A1679="","",SUBSTITUTE(SUBSTITUTE(SUBSTITUTE($A1679&amp;"","~","~~"),"*","~*"),"?","~?"))</f>
        <v/>
      </c>
    </row>
    <row r="1680" customFormat="false" ht="15" hidden="false" customHeight="false" outlineLevel="0" collapsed="false">
      <c r="A1680" s="11"/>
      <c r="B1680" s="6"/>
      <c r="C1680" s="11"/>
      <c r="D1680" s="11"/>
      <c r="E1680" s="8" t="str">
        <f aca="false">IF($A1680="","",SUMIFS($C:$C,$A:$A,$H1680,$B:$B,"&gt;="&amp;INT($B1680),$B:$B,"&lt;"&amp;(INT($B1680)+1)))</f>
        <v/>
      </c>
      <c r="F1680" s="19" t="str">
        <f aca="false">IF($A1680="","",IF(ISNA(MATCH($H1680,Buffers!$AE:$AE,0)),"Not on Buffers",IF(NOT(ISNUMBER($B1680)),"Needs a date",IF(INT($B1680)&lt;PlanDate,"Past due",IF(INT($B1680)=PlanDate,"Due today",IF(AND(INDEX(Buffers!$L:$L,MATCH($H1680,Buffers!$AE:$AE,0))="Planned",$E1680&gt;0,INT($B1680)&lt;=PlanDate+ROUNDUP(IF(ISNUMBER(SpikeHorizon),SpikeHorizon,INDEX(Buffers!$D:$D,MATCH($H1680,Buffers!$AE:$AE,0))),0),$E1680&gt;=SpikePct*INDEX(Buffers!$P:$P,MATCH($H1680,Buffers!$AE:$AE,0))),"Spike","Not qualified"))))))</f>
        <v/>
      </c>
      <c r="G1680" s="8" t="str">
        <f aca="false">IF($A1680="","",IF(OR($F1680="Past due",$F1680="Due today",$F1680="Spike"),$C1680,0))</f>
        <v/>
      </c>
      <c r="H1680" s="8" t="str">
        <f aca="false">IF($A1680="","",SUBSTITUTE(SUBSTITUTE(SUBSTITUTE($A1680&amp;"","~","~~"),"*","~*"),"?","~?"))</f>
        <v/>
      </c>
    </row>
    <row r="1681" customFormat="false" ht="15" hidden="false" customHeight="false" outlineLevel="0" collapsed="false">
      <c r="A1681" s="11"/>
      <c r="B1681" s="6"/>
      <c r="C1681" s="11"/>
      <c r="D1681" s="11"/>
      <c r="E1681" s="8" t="str">
        <f aca="false">IF($A1681="","",SUMIFS($C:$C,$A:$A,$H1681,$B:$B,"&gt;="&amp;INT($B1681),$B:$B,"&lt;"&amp;(INT($B1681)+1)))</f>
        <v/>
      </c>
      <c r="F1681" s="19" t="str">
        <f aca="false">IF($A1681="","",IF(ISNA(MATCH($H1681,Buffers!$AE:$AE,0)),"Not on Buffers",IF(NOT(ISNUMBER($B1681)),"Needs a date",IF(INT($B1681)&lt;PlanDate,"Past due",IF(INT($B1681)=PlanDate,"Due today",IF(AND(INDEX(Buffers!$L:$L,MATCH($H1681,Buffers!$AE:$AE,0))="Planned",$E1681&gt;0,INT($B1681)&lt;=PlanDate+ROUNDUP(IF(ISNUMBER(SpikeHorizon),SpikeHorizon,INDEX(Buffers!$D:$D,MATCH($H1681,Buffers!$AE:$AE,0))),0),$E1681&gt;=SpikePct*INDEX(Buffers!$P:$P,MATCH($H1681,Buffers!$AE:$AE,0))),"Spike","Not qualified"))))))</f>
        <v/>
      </c>
      <c r="G1681" s="8" t="str">
        <f aca="false">IF($A1681="","",IF(OR($F1681="Past due",$F1681="Due today",$F1681="Spike"),$C1681,0))</f>
        <v/>
      </c>
      <c r="H1681" s="8" t="str">
        <f aca="false">IF($A1681="","",SUBSTITUTE(SUBSTITUTE(SUBSTITUTE($A1681&amp;"","~","~~"),"*","~*"),"?","~?"))</f>
        <v/>
      </c>
    </row>
    <row r="1682" customFormat="false" ht="15" hidden="false" customHeight="false" outlineLevel="0" collapsed="false">
      <c r="A1682" s="11"/>
      <c r="B1682" s="6"/>
      <c r="C1682" s="11"/>
      <c r="D1682" s="11"/>
      <c r="E1682" s="8" t="str">
        <f aca="false">IF($A1682="","",SUMIFS($C:$C,$A:$A,$H1682,$B:$B,"&gt;="&amp;INT($B1682),$B:$B,"&lt;"&amp;(INT($B1682)+1)))</f>
        <v/>
      </c>
      <c r="F1682" s="19" t="str">
        <f aca="false">IF($A1682="","",IF(ISNA(MATCH($H1682,Buffers!$AE:$AE,0)),"Not on Buffers",IF(NOT(ISNUMBER($B1682)),"Needs a date",IF(INT($B1682)&lt;PlanDate,"Past due",IF(INT($B1682)=PlanDate,"Due today",IF(AND(INDEX(Buffers!$L:$L,MATCH($H1682,Buffers!$AE:$AE,0))="Planned",$E1682&gt;0,INT($B1682)&lt;=PlanDate+ROUNDUP(IF(ISNUMBER(SpikeHorizon),SpikeHorizon,INDEX(Buffers!$D:$D,MATCH($H1682,Buffers!$AE:$AE,0))),0),$E1682&gt;=SpikePct*INDEX(Buffers!$P:$P,MATCH($H1682,Buffers!$AE:$AE,0))),"Spike","Not qualified"))))))</f>
        <v/>
      </c>
      <c r="G1682" s="8" t="str">
        <f aca="false">IF($A1682="","",IF(OR($F1682="Past due",$F1682="Due today",$F1682="Spike"),$C1682,0))</f>
        <v/>
      </c>
      <c r="H1682" s="8" t="str">
        <f aca="false">IF($A1682="","",SUBSTITUTE(SUBSTITUTE(SUBSTITUTE($A1682&amp;"","~","~~"),"*","~*"),"?","~?"))</f>
        <v/>
      </c>
    </row>
    <row r="1683" customFormat="false" ht="15" hidden="false" customHeight="false" outlineLevel="0" collapsed="false">
      <c r="A1683" s="11"/>
      <c r="B1683" s="6"/>
      <c r="C1683" s="11"/>
      <c r="D1683" s="11"/>
      <c r="E1683" s="8" t="str">
        <f aca="false">IF($A1683="","",SUMIFS($C:$C,$A:$A,$H1683,$B:$B,"&gt;="&amp;INT($B1683),$B:$B,"&lt;"&amp;(INT($B1683)+1)))</f>
        <v/>
      </c>
      <c r="F1683" s="19" t="str">
        <f aca="false">IF($A1683="","",IF(ISNA(MATCH($H1683,Buffers!$AE:$AE,0)),"Not on Buffers",IF(NOT(ISNUMBER($B1683)),"Needs a date",IF(INT($B1683)&lt;PlanDate,"Past due",IF(INT($B1683)=PlanDate,"Due today",IF(AND(INDEX(Buffers!$L:$L,MATCH($H1683,Buffers!$AE:$AE,0))="Planned",$E1683&gt;0,INT($B1683)&lt;=PlanDate+ROUNDUP(IF(ISNUMBER(SpikeHorizon),SpikeHorizon,INDEX(Buffers!$D:$D,MATCH($H1683,Buffers!$AE:$AE,0))),0),$E1683&gt;=SpikePct*INDEX(Buffers!$P:$P,MATCH($H1683,Buffers!$AE:$AE,0))),"Spike","Not qualified"))))))</f>
        <v/>
      </c>
      <c r="G1683" s="8" t="str">
        <f aca="false">IF($A1683="","",IF(OR($F1683="Past due",$F1683="Due today",$F1683="Spike"),$C1683,0))</f>
        <v/>
      </c>
      <c r="H1683" s="8" t="str">
        <f aca="false">IF($A1683="","",SUBSTITUTE(SUBSTITUTE(SUBSTITUTE($A1683&amp;"","~","~~"),"*","~*"),"?","~?"))</f>
        <v/>
      </c>
    </row>
    <row r="1684" customFormat="false" ht="15" hidden="false" customHeight="false" outlineLevel="0" collapsed="false">
      <c r="A1684" s="11"/>
      <c r="B1684" s="6"/>
      <c r="C1684" s="11"/>
      <c r="D1684" s="11"/>
      <c r="E1684" s="8" t="str">
        <f aca="false">IF($A1684="","",SUMIFS($C:$C,$A:$A,$H1684,$B:$B,"&gt;="&amp;INT($B1684),$B:$B,"&lt;"&amp;(INT($B1684)+1)))</f>
        <v/>
      </c>
      <c r="F1684" s="19" t="str">
        <f aca="false">IF($A1684="","",IF(ISNA(MATCH($H1684,Buffers!$AE:$AE,0)),"Not on Buffers",IF(NOT(ISNUMBER($B1684)),"Needs a date",IF(INT($B1684)&lt;PlanDate,"Past due",IF(INT($B1684)=PlanDate,"Due today",IF(AND(INDEX(Buffers!$L:$L,MATCH($H1684,Buffers!$AE:$AE,0))="Planned",$E1684&gt;0,INT($B1684)&lt;=PlanDate+ROUNDUP(IF(ISNUMBER(SpikeHorizon),SpikeHorizon,INDEX(Buffers!$D:$D,MATCH($H1684,Buffers!$AE:$AE,0))),0),$E1684&gt;=SpikePct*INDEX(Buffers!$P:$P,MATCH($H1684,Buffers!$AE:$AE,0))),"Spike","Not qualified"))))))</f>
        <v/>
      </c>
      <c r="G1684" s="8" t="str">
        <f aca="false">IF($A1684="","",IF(OR($F1684="Past due",$F1684="Due today",$F1684="Spike"),$C1684,0))</f>
        <v/>
      </c>
      <c r="H1684" s="8" t="str">
        <f aca="false">IF($A1684="","",SUBSTITUTE(SUBSTITUTE(SUBSTITUTE($A1684&amp;"","~","~~"),"*","~*"),"?","~?"))</f>
        <v/>
      </c>
    </row>
    <row r="1685" customFormat="false" ht="15" hidden="false" customHeight="false" outlineLevel="0" collapsed="false">
      <c r="A1685" s="11"/>
      <c r="B1685" s="6"/>
      <c r="C1685" s="11"/>
      <c r="D1685" s="11"/>
      <c r="E1685" s="8" t="str">
        <f aca="false">IF($A1685="","",SUMIFS($C:$C,$A:$A,$H1685,$B:$B,"&gt;="&amp;INT($B1685),$B:$B,"&lt;"&amp;(INT($B1685)+1)))</f>
        <v/>
      </c>
      <c r="F1685" s="19" t="str">
        <f aca="false">IF($A1685="","",IF(ISNA(MATCH($H1685,Buffers!$AE:$AE,0)),"Not on Buffers",IF(NOT(ISNUMBER($B1685)),"Needs a date",IF(INT($B1685)&lt;PlanDate,"Past due",IF(INT($B1685)=PlanDate,"Due today",IF(AND(INDEX(Buffers!$L:$L,MATCH($H1685,Buffers!$AE:$AE,0))="Planned",$E1685&gt;0,INT($B1685)&lt;=PlanDate+ROUNDUP(IF(ISNUMBER(SpikeHorizon),SpikeHorizon,INDEX(Buffers!$D:$D,MATCH($H1685,Buffers!$AE:$AE,0))),0),$E1685&gt;=SpikePct*INDEX(Buffers!$P:$P,MATCH($H1685,Buffers!$AE:$AE,0))),"Spike","Not qualified"))))))</f>
        <v/>
      </c>
      <c r="G1685" s="8" t="str">
        <f aca="false">IF($A1685="","",IF(OR($F1685="Past due",$F1685="Due today",$F1685="Spike"),$C1685,0))</f>
        <v/>
      </c>
      <c r="H1685" s="8" t="str">
        <f aca="false">IF($A1685="","",SUBSTITUTE(SUBSTITUTE(SUBSTITUTE($A1685&amp;"","~","~~"),"*","~*"),"?","~?"))</f>
        <v/>
      </c>
    </row>
    <row r="1686" customFormat="false" ht="15" hidden="false" customHeight="false" outlineLevel="0" collapsed="false">
      <c r="A1686" s="11"/>
      <c r="B1686" s="6"/>
      <c r="C1686" s="11"/>
      <c r="D1686" s="11"/>
      <c r="E1686" s="8" t="str">
        <f aca="false">IF($A1686="","",SUMIFS($C:$C,$A:$A,$H1686,$B:$B,"&gt;="&amp;INT($B1686),$B:$B,"&lt;"&amp;(INT($B1686)+1)))</f>
        <v/>
      </c>
      <c r="F1686" s="19" t="str">
        <f aca="false">IF($A1686="","",IF(ISNA(MATCH($H1686,Buffers!$AE:$AE,0)),"Not on Buffers",IF(NOT(ISNUMBER($B1686)),"Needs a date",IF(INT($B1686)&lt;PlanDate,"Past due",IF(INT($B1686)=PlanDate,"Due today",IF(AND(INDEX(Buffers!$L:$L,MATCH($H1686,Buffers!$AE:$AE,0))="Planned",$E1686&gt;0,INT($B1686)&lt;=PlanDate+ROUNDUP(IF(ISNUMBER(SpikeHorizon),SpikeHorizon,INDEX(Buffers!$D:$D,MATCH($H1686,Buffers!$AE:$AE,0))),0),$E1686&gt;=SpikePct*INDEX(Buffers!$P:$P,MATCH($H1686,Buffers!$AE:$AE,0))),"Spike","Not qualified"))))))</f>
        <v/>
      </c>
      <c r="G1686" s="8" t="str">
        <f aca="false">IF($A1686="","",IF(OR($F1686="Past due",$F1686="Due today",$F1686="Spike"),$C1686,0))</f>
        <v/>
      </c>
      <c r="H1686" s="8" t="str">
        <f aca="false">IF($A1686="","",SUBSTITUTE(SUBSTITUTE(SUBSTITUTE($A1686&amp;"","~","~~"),"*","~*"),"?","~?"))</f>
        <v/>
      </c>
    </row>
    <row r="1687" customFormat="false" ht="15" hidden="false" customHeight="false" outlineLevel="0" collapsed="false">
      <c r="A1687" s="11"/>
      <c r="B1687" s="6"/>
      <c r="C1687" s="11"/>
      <c r="D1687" s="11"/>
      <c r="E1687" s="8" t="str">
        <f aca="false">IF($A1687="","",SUMIFS($C:$C,$A:$A,$H1687,$B:$B,"&gt;="&amp;INT($B1687),$B:$B,"&lt;"&amp;(INT($B1687)+1)))</f>
        <v/>
      </c>
      <c r="F1687" s="19" t="str">
        <f aca="false">IF($A1687="","",IF(ISNA(MATCH($H1687,Buffers!$AE:$AE,0)),"Not on Buffers",IF(NOT(ISNUMBER($B1687)),"Needs a date",IF(INT($B1687)&lt;PlanDate,"Past due",IF(INT($B1687)=PlanDate,"Due today",IF(AND(INDEX(Buffers!$L:$L,MATCH($H1687,Buffers!$AE:$AE,0))="Planned",$E1687&gt;0,INT($B1687)&lt;=PlanDate+ROUNDUP(IF(ISNUMBER(SpikeHorizon),SpikeHorizon,INDEX(Buffers!$D:$D,MATCH($H1687,Buffers!$AE:$AE,0))),0),$E1687&gt;=SpikePct*INDEX(Buffers!$P:$P,MATCH($H1687,Buffers!$AE:$AE,0))),"Spike","Not qualified"))))))</f>
        <v/>
      </c>
      <c r="G1687" s="8" t="str">
        <f aca="false">IF($A1687="","",IF(OR($F1687="Past due",$F1687="Due today",$F1687="Spike"),$C1687,0))</f>
        <v/>
      </c>
      <c r="H1687" s="8" t="str">
        <f aca="false">IF($A1687="","",SUBSTITUTE(SUBSTITUTE(SUBSTITUTE($A1687&amp;"","~","~~"),"*","~*"),"?","~?"))</f>
        <v/>
      </c>
    </row>
    <row r="1688" customFormat="false" ht="15" hidden="false" customHeight="false" outlineLevel="0" collapsed="false">
      <c r="A1688" s="11"/>
      <c r="B1688" s="6"/>
      <c r="C1688" s="11"/>
      <c r="D1688" s="11"/>
      <c r="E1688" s="8" t="str">
        <f aca="false">IF($A1688="","",SUMIFS($C:$C,$A:$A,$H1688,$B:$B,"&gt;="&amp;INT($B1688),$B:$B,"&lt;"&amp;(INT($B1688)+1)))</f>
        <v/>
      </c>
      <c r="F1688" s="19" t="str">
        <f aca="false">IF($A1688="","",IF(ISNA(MATCH($H1688,Buffers!$AE:$AE,0)),"Not on Buffers",IF(NOT(ISNUMBER($B1688)),"Needs a date",IF(INT($B1688)&lt;PlanDate,"Past due",IF(INT($B1688)=PlanDate,"Due today",IF(AND(INDEX(Buffers!$L:$L,MATCH($H1688,Buffers!$AE:$AE,0))="Planned",$E1688&gt;0,INT($B1688)&lt;=PlanDate+ROUNDUP(IF(ISNUMBER(SpikeHorizon),SpikeHorizon,INDEX(Buffers!$D:$D,MATCH($H1688,Buffers!$AE:$AE,0))),0),$E1688&gt;=SpikePct*INDEX(Buffers!$P:$P,MATCH($H1688,Buffers!$AE:$AE,0))),"Spike","Not qualified"))))))</f>
        <v/>
      </c>
      <c r="G1688" s="8" t="str">
        <f aca="false">IF($A1688="","",IF(OR($F1688="Past due",$F1688="Due today",$F1688="Spike"),$C1688,0))</f>
        <v/>
      </c>
      <c r="H1688" s="8" t="str">
        <f aca="false">IF($A1688="","",SUBSTITUTE(SUBSTITUTE(SUBSTITUTE($A1688&amp;"","~","~~"),"*","~*"),"?","~?"))</f>
        <v/>
      </c>
    </row>
    <row r="1689" customFormat="false" ht="15" hidden="false" customHeight="false" outlineLevel="0" collapsed="false">
      <c r="A1689" s="11"/>
      <c r="B1689" s="6"/>
      <c r="C1689" s="11"/>
      <c r="D1689" s="11"/>
      <c r="E1689" s="8" t="str">
        <f aca="false">IF($A1689="","",SUMIFS($C:$C,$A:$A,$H1689,$B:$B,"&gt;="&amp;INT($B1689),$B:$B,"&lt;"&amp;(INT($B1689)+1)))</f>
        <v/>
      </c>
      <c r="F1689" s="19" t="str">
        <f aca="false">IF($A1689="","",IF(ISNA(MATCH($H1689,Buffers!$AE:$AE,0)),"Not on Buffers",IF(NOT(ISNUMBER($B1689)),"Needs a date",IF(INT($B1689)&lt;PlanDate,"Past due",IF(INT($B1689)=PlanDate,"Due today",IF(AND(INDEX(Buffers!$L:$L,MATCH($H1689,Buffers!$AE:$AE,0))="Planned",$E1689&gt;0,INT($B1689)&lt;=PlanDate+ROUNDUP(IF(ISNUMBER(SpikeHorizon),SpikeHorizon,INDEX(Buffers!$D:$D,MATCH($H1689,Buffers!$AE:$AE,0))),0),$E1689&gt;=SpikePct*INDEX(Buffers!$P:$P,MATCH($H1689,Buffers!$AE:$AE,0))),"Spike","Not qualified"))))))</f>
        <v/>
      </c>
      <c r="G1689" s="8" t="str">
        <f aca="false">IF($A1689="","",IF(OR($F1689="Past due",$F1689="Due today",$F1689="Spike"),$C1689,0))</f>
        <v/>
      </c>
      <c r="H1689" s="8" t="str">
        <f aca="false">IF($A1689="","",SUBSTITUTE(SUBSTITUTE(SUBSTITUTE($A1689&amp;"","~","~~"),"*","~*"),"?","~?"))</f>
        <v/>
      </c>
    </row>
    <row r="1690" customFormat="false" ht="15" hidden="false" customHeight="false" outlineLevel="0" collapsed="false">
      <c r="A1690" s="11"/>
      <c r="B1690" s="6"/>
      <c r="C1690" s="11"/>
      <c r="D1690" s="11"/>
      <c r="E1690" s="8" t="str">
        <f aca="false">IF($A1690="","",SUMIFS($C:$C,$A:$A,$H1690,$B:$B,"&gt;="&amp;INT($B1690),$B:$B,"&lt;"&amp;(INT($B1690)+1)))</f>
        <v/>
      </c>
      <c r="F1690" s="19" t="str">
        <f aca="false">IF($A1690="","",IF(ISNA(MATCH($H1690,Buffers!$AE:$AE,0)),"Not on Buffers",IF(NOT(ISNUMBER($B1690)),"Needs a date",IF(INT($B1690)&lt;PlanDate,"Past due",IF(INT($B1690)=PlanDate,"Due today",IF(AND(INDEX(Buffers!$L:$L,MATCH($H1690,Buffers!$AE:$AE,0))="Planned",$E1690&gt;0,INT($B1690)&lt;=PlanDate+ROUNDUP(IF(ISNUMBER(SpikeHorizon),SpikeHorizon,INDEX(Buffers!$D:$D,MATCH($H1690,Buffers!$AE:$AE,0))),0),$E1690&gt;=SpikePct*INDEX(Buffers!$P:$P,MATCH($H1690,Buffers!$AE:$AE,0))),"Spike","Not qualified"))))))</f>
        <v/>
      </c>
      <c r="G1690" s="8" t="str">
        <f aca="false">IF($A1690="","",IF(OR($F1690="Past due",$F1690="Due today",$F1690="Spike"),$C1690,0))</f>
        <v/>
      </c>
      <c r="H1690" s="8" t="str">
        <f aca="false">IF($A1690="","",SUBSTITUTE(SUBSTITUTE(SUBSTITUTE($A1690&amp;"","~","~~"),"*","~*"),"?","~?"))</f>
        <v/>
      </c>
    </row>
    <row r="1691" customFormat="false" ht="15" hidden="false" customHeight="false" outlineLevel="0" collapsed="false">
      <c r="A1691" s="11"/>
      <c r="B1691" s="6"/>
      <c r="C1691" s="11"/>
      <c r="D1691" s="11"/>
      <c r="E1691" s="8" t="str">
        <f aca="false">IF($A1691="","",SUMIFS($C:$C,$A:$A,$H1691,$B:$B,"&gt;="&amp;INT($B1691),$B:$B,"&lt;"&amp;(INT($B1691)+1)))</f>
        <v/>
      </c>
      <c r="F1691" s="19" t="str">
        <f aca="false">IF($A1691="","",IF(ISNA(MATCH($H1691,Buffers!$AE:$AE,0)),"Not on Buffers",IF(NOT(ISNUMBER($B1691)),"Needs a date",IF(INT($B1691)&lt;PlanDate,"Past due",IF(INT($B1691)=PlanDate,"Due today",IF(AND(INDEX(Buffers!$L:$L,MATCH($H1691,Buffers!$AE:$AE,0))="Planned",$E1691&gt;0,INT($B1691)&lt;=PlanDate+ROUNDUP(IF(ISNUMBER(SpikeHorizon),SpikeHorizon,INDEX(Buffers!$D:$D,MATCH($H1691,Buffers!$AE:$AE,0))),0),$E1691&gt;=SpikePct*INDEX(Buffers!$P:$P,MATCH($H1691,Buffers!$AE:$AE,0))),"Spike","Not qualified"))))))</f>
        <v/>
      </c>
      <c r="G1691" s="8" t="str">
        <f aca="false">IF($A1691="","",IF(OR($F1691="Past due",$F1691="Due today",$F1691="Spike"),$C1691,0))</f>
        <v/>
      </c>
      <c r="H1691" s="8" t="str">
        <f aca="false">IF($A1691="","",SUBSTITUTE(SUBSTITUTE(SUBSTITUTE($A1691&amp;"","~","~~"),"*","~*"),"?","~?"))</f>
        <v/>
      </c>
    </row>
    <row r="1692" customFormat="false" ht="15" hidden="false" customHeight="false" outlineLevel="0" collapsed="false">
      <c r="A1692" s="11"/>
      <c r="B1692" s="6"/>
      <c r="C1692" s="11"/>
      <c r="D1692" s="11"/>
      <c r="E1692" s="8" t="str">
        <f aca="false">IF($A1692="","",SUMIFS($C:$C,$A:$A,$H1692,$B:$B,"&gt;="&amp;INT($B1692),$B:$B,"&lt;"&amp;(INT($B1692)+1)))</f>
        <v/>
      </c>
      <c r="F1692" s="19" t="str">
        <f aca="false">IF($A1692="","",IF(ISNA(MATCH($H1692,Buffers!$AE:$AE,0)),"Not on Buffers",IF(NOT(ISNUMBER($B1692)),"Needs a date",IF(INT($B1692)&lt;PlanDate,"Past due",IF(INT($B1692)=PlanDate,"Due today",IF(AND(INDEX(Buffers!$L:$L,MATCH($H1692,Buffers!$AE:$AE,0))="Planned",$E1692&gt;0,INT($B1692)&lt;=PlanDate+ROUNDUP(IF(ISNUMBER(SpikeHorizon),SpikeHorizon,INDEX(Buffers!$D:$D,MATCH($H1692,Buffers!$AE:$AE,0))),0),$E1692&gt;=SpikePct*INDEX(Buffers!$P:$P,MATCH($H1692,Buffers!$AE:$AE,0))),"Spike","Not qualified"))))))</f>
        <v/>
      </c>
      <c r="G1692" s="8" t="str">
        <f aca="false">IF($A1692="","",IF(OR($F1692="Past due",$F1692="Due today",$F1692="Spike"),$C1692,0))</f>
        <v/>
      </c>
      <c r="H1692" s="8" t="str">
        <f aca="false">IF($A1692="","",SUBSTITUTE(SUBSTITUTE(SUBSTITUTE($A1692&amp;"","~","~~"),"*","~*"),"?","~?"))</f>
        <v/>
      </c>
    </row>
    <row r="1693" customFormat="false" ht="15" hidden="false" customHeight="false" outlineLevel="0" collapsed="false">
      <c r="A1693" s="11"/>
      <c r="B1693" s="6"/>
      <c r="C1693" s="11"/>
      <c r="D1693" s="11"/>
      <c r="E1693" s="8" t="str">
        <f aca="false">IF($A1693="","",SUMIFS($C:$C,$A:$A,$H1693,$B:$B,"&gt;="&amp;INT($B1693),$B:$B,"&lt;"&amp;(INT($B1693)+1)))</f>
        <v/>
      </c>
      <c r="F1693" s="19" t="str">
        <f aca="false">IF($A1693="","",IF(ISNA(MATCH($H1693,Buffers!$AE:$AE,0)),"Not on Buffers",IF(NOT(ISNUMBER($B1693)),"Needs a date",IF(INT($B1693)&lt;PlanDate,"Past due",IF(INT($B1693)=PlanDate,"Due today",IF(AND(INDEX(Buffers!$L:$L,MATCH($H1693,Buffers!$AE:$AE,0))="Planned",$E1693&gt;0,INT($B1693)&lt;=PlanDate+ROUNDUP(IF(ISNUMBER(SpikeHorizon),SpikeHorizon,INDEX(Buffers!$D:$D,MATCH($H1693,Buffers!$AE:$AE,0))),0),$E1693&gt;=SpikePct*INDEX(Buffers!$P:$P,MATCH($H1693,Buffers!$AE:$AE,0))),"Spike","Not qualified"))))))</f>
        <v/>
      </c>
      <c r="G1693" s="8" t="str">
        <f aca="false">IF($A1693="","",IF(OR($F1693="Past due",$F1693="Due today",$F1693="Spike"),$C1693,0))</f>
        <v/>
      </c>
      <c r="H1693" s="8" t="str">
        <f aca="false">IF($A1693="","",SUBSTITUTE(SUBSTITUTE(SUBSTITUTE($A1693&amp;"","~","~~"),"*","~*"),"?","~?"))</f>
        <v/>
      </c>
    </row>
    <row r="1694" customFormat="false" ht="15" hidden="false" customHeight="false" outlineLevel="0" collapsed="false">
      <c r="A1694" s="11"/>
      <c r="B1694" s="6"/>
      <c r="C1694" s="11"/>
      <c r="D1694" s="11"/>
      <c r="E1694" s="8" t="str">
        <f aca="false">IF($A1694="","",SUMIFS($C:$C,$A:$A,$H1694,$B:$B,"&gt;="&amp;INT($B1694),$B:$B,"&lt;"&amp;(INT($B1694)+1)))</f>
        <v/>
      </c>
      <c r="F1694" s="19" t="str">
        <f aca="false">IF($A1694="","",IF(ISNA(MATCH($H1694,Buffers!$AE:$AE,0)),"Not on Buffers",IF(NOT(ISNUMBER($B1694)),"Needs a date",IF(INT($B1694)&lt;PlanDate,"Past due",IF(INT($B1694)=PlanDate,"Due today",IF(AND(INDEX(Buffers!$L:$L,MATCH($H1694,Buffers!$AE:$AE,0))="Planned",$E1694&gt;0,INT($B1694)&lt;=PlanDate+ROUNDUP(IF(ISNUMBER(SpikeHorizon),SpikeHorizon,INDEX(Buffers!$D:$D,MATCH($H1694,Buffers!$AE:$AE,0))),0),$E1694&gt;=SpikePct*INDEX(Buffers!$P:$P,MATCH($H1694,Buffers!$AE:$AE,0))),"Spike","Not qualified"))))))</f>
        <v/>
      </c>
      <c r="G1694" s="8" t="str">
        <f aca="false">IF($A1694="","",IF(OR($F1694="Past due",$F1694="Due today",$F1694="Spike"),$C1694,0))</f>
        <v/>
      </c>
      <c r="H1694" s="8" t="str">
        <f aca="false">IF($A1694="","",SUBSTITUTE(SUBSTITUTE(SUBSTITUTE($A1694&amp;"","~","~~"),"*","~*"),"?","~?"))</f>
        <v/>
      </c>
    </row>
    <row r="1695" customFormat="false" ht="15" hidden="false" customHeight="false" outlineLevel="0" collapsed="false">
      <c r="A1695" s="11"/>
      <c r="B1695" s="6"/>
      <c r="C1695" s="11"/>
      <c r="D1695" s="11"/>
      <c r="E1695" s="8" t="str">
        <f aca="false">IF($A1695="","",SUMIFS($C:$C,$A:$A,$H1695,$B:$B,"&gt;="&amp;INT($B1695),$B:$B,"&lt;"&amp;(INT($B1695)+1)))</f>
        <v/>
      </c>
      <c r="F1695" s="19" t="str">
        <f aca="false">IF($A1695="","",IF(ISNA(MATCH($H1695,Buffers!$AE:$AE,0)),"Not on Buffers",IF(NOT(ISNUMBER($B1695)),"Needs a date",IF(INT($B1695)&lt;PlanDate,"Past due",IF(INT($B1695)=PlanDate,"Due today",IF(AND(INDEX(Buffers!$L:$L,MATCH($H1695,Buffers!$AE:$AE,0))="Planned",$E1695&gt;0,INT($B1695)&lt;=PlanDate+ROUNDUP(IF(ISNUMBER(SpikeHorizon),SpikeHorizon,INDEX(Buffers!$D:$D,MATCH($H1695,Buffers!$AE:$AE,0))),0),$E1695&gt;=SpikePct*INDEX(Buffers!$P:$P,MATCH($H1695,Buffers!$AE:$AE,0))),"Spike","Not qualified"))))))</f>
        <v/>
      </c>
      <c r="G1695" s="8" t="str">
        <f aca="false">IF($A1695="","",IF(OR($F1695="Past due",$F1695="Due today",$F1695="Spike"),$C1695,0))</f>
        <v/>
      </c>
      <c r="H1695" s="8" t="str">
        <f aca="false">IF($A1695="","",SUBSTITUTE(SUBSTITUTE(SUBSTITUTE($A1695&amp;"","~","~~"),"*","~*"),"?","~?"))</f>
        <v/>
      </c>
    </row>
    <row r="1696" customFormat="false" ht="15" hidden="false" customHeight="false" outlineLevel="0" collapsed="false">
      <c r="A1696" s="11"/>
      <c r="B1696" s="6"/>
      <c r="C1696" s="11"/>
      <c r="D1696" s="11"/>
      <c r="E1696" s="8" t="str">
        <f aca="false">IF($A1696="","",SUMIFS($C:$C,$A:$A,$H1696,$B:$B,"&gt;="&amp;INT($B1696),$B:$B,"&lt;"&amp;(INT($B1696)+1)))</f>
        <v/>
      </c>
      <c r="F1696" s="19" t="str">
        <f aca="false">IF($A1696="","",IF(ISNA(MATCH($H1696,Buffers!$AE:$AE,0)),"Not on Buffers",IF(NOT(ISNUMBER($B1696)),"Needs a date",IF(INT($B1696)&lt;PlanDate,"Past due",IF(INT($B1696)=PlanDate,"Due today",IF(AND(INDEX(Buffers!$L:$L,MATCH($H1696,Buffers!$AE:$AE,0))="Planned",$E1696&gt;0,INT($B1696)&lt;=PlanDate+ROUNDUP(IF(ISNUMBER(SpikeHorizon),SpikeHorizon,INDEX(Buffers!$D:$D,MATCH($H1696,Buffers!$AE:$AE,0))),0),$E1696&gt;=SpikePct*INDEX(Buffers!$P:$P,MATCH($H1696,Buffers!$AE:$AE,0))),"Spike","Not qualified"))))))</f>
        <v/>
      </c>
      <c r="G1696" s="8" t="str">
        <f aca="false">IF($A1696="","",IF(OR($F1696="Past due",$F1696="Due today",$F1696="Spike"),$C1696,0))</f>
        <v/>
      </c>
      <c r="H1696" s="8" t="str">
        <f aca="false">IF($A1696="","",SUBSTITUTE(SUBSTITUTE(SUBSTITUTE($A1696&amp;"","~","~~"),"*","~*"),"?","~?"))</f>
        <v/>
      </c>
    </row>
    <row r="1697" customFormat="false" ht="15" hidden="false" customHeight="false" outlineLevel="0" collapsed="false">
      <c r="A1697" s="11"/>
      <c r="B1697" s="6"/>
      <c r="C1697" s="11"/>
      <c r="D1697" s="11"/>
      <c r="E1697" s="8" t="str">
        <f aca="false">IF($A1697="","",SUMIFS($C:$C,$A:$A,$H1697,$B:$B,"&gt;="&amp;INT($B1697),$B:$B,"&lt;"&amp;(INT($B1697)+1)))</f>
        <v/>
      </c>
      <c r="F1697" s="19" t="str">
        <f aca="false">IF($A1697="","",IF(ISNA(MATCH($H1697,Buffers!$AE:$AE,0)),"Not on Buffers",IF(NOT(ISNUMBER($B1697)),"Needs a date",IF(INT($B1697)&lt;PlanDate,"Past due",IF(INT($B1697)=PlanDate,"Due today",IF(AND(INDEX(Buffers!$L:$L,MATCH($H1697,Buffers!$AE:$AE,0))="Planned",$E1697&gt;0,INT($B1697)&lt;=PlanDate+ROUNDUP(IF(ISNUMBER(SpikeHorizon),SpikeHorizon,INDEX(Buffers!$D:$D,MATCH($H1697,Buffers!$AE:$AE,0))),0),$E1697&gt;=SpikePct*INDEX(Buffers!$P:$P,MATCH($H1697,Buffers!$AE:$AE,0))),"Spike","Not qualified"))))))</f>
        <v/>
      </c>
      <c r="G1697" s="8" t="str">
        <f aca="false">IF($A1697="","",IF(OR($F1697="Past due",$F1697="Due today",$F1697="Spike"),$C1697,0))</f>
        <v/>
      </c>
      <c r="H1697" s="8" t="str">
        <f aca="false">IF($A1697="","",SUBSTITUTE(SUBSTITUTE(SUBSTITUTE($A1697&amp;"","~","~~"),"*","~*"),"?","~?"))</f>
        <v/>
      </c>
    </row>
    <row r="1698" customFormat="false" ht="15" hidden="false" customHeight="false" outlineLevel="0" collapsed="false">
      <c r="A1698" s="11"/>
      <c r="B1698" s="6"/>
      <c r="C1698" s="11"/>
      <c r="D1698" s="11"/>
      <c r="E1698" s="8" t="str">
        <f aca="false">IF($A1698="","",SUMIFS($C:$C,$A:$A,$H1698,$B:$B,"&gt;="&amp;INT($B1698),$B:$B,"&lt;"&amp;(INT($B1698)+1)))</f>
        <v/>
      </c>
      <c r="F1698" s="19" t="str">
        <f aca="false">IF($A1698="","",IF(ISNA(MATCH($H1698,Buffers!$AE:$AE,0)),"Not on Buffers",IF(NOT(ISNUMBER($B1698)),"Needs a date",IF(INT($B1698)&lt;PlanDate,"Past due",IF(INT($B1698)=PlanDate,"Due today",IF(AND(INDEX(Buffers!$L:$L,MATCH($H1698,Buffers!$AE:$AE,0))="Planned",$E1698&gt;0,INT($B1698)&lt;=PlanDate+ROUNDUP(IF(ISNUMBER(SpikeHorizon),SpikeHorizon,INDEX(Buffers!$D:$D,MATCH($H1698,Buffers!$AE:$AE,0))),0),$E1698&gt;=SpikePct*INDEX(Buffers!$P:$P,MATCH($H1698,Buffers!$AE:$AE,0))),"Spike","Not qualified"))))))</f>
        <v/>
      </c>
      <c r="G1698" s="8" t="str">
        <f aca="false">IF($A1698="","",IF(OR($F1698="Past due",$F1698="Due today",$F1698="Spike"),$C1698,0))</f>
        <v/>
      </c>
      <c r="H1698" s="8" t="str">
        <f aca="false">IF($A1698="","",SUBSTITUTE(SUBSTITUTE(SUBSTITUTE($A1698&amp;"","~","~~"),"*","~*"),"?","~?"))</f>
        <v/>
      </c>
    </row>
    <row r="1699" customFormat="false" ht="15" hidden="false" customHeight="false" outlineLevel="0" collapsed="false">
      <c r="A1699" s="11"/>
      <c r="B1699" s="6"/>
      <c r="C1699" s="11"/>
      <c r="D1699" s="11"/>
      <c r="E1699" s="8" t="str">
        <f aca="false">IF($A1699="","",SUMIFS($C:$C,$A:$A,$H1699,$B:$B,"&gt;="&amp;INT($B1699),$B:$B,"&lt;"&amp;(INT($B1699)+1)))</f>
        <v/>
      </c>
      <c r="F1699" s="19" t="str">
        <f aca="false">IF($A1699="","",IF(ISNA(MATCH($H1699,Buffers!$AE:$AE,0)),"Not on Buffers",IF(NOT(ISNUMBER($B1699)),"Needs a date",IF(INT($B1699)&lt;PlanDate,"Past due",IF(INT($B1699)=PlanDate,"Due today",IF(AND(INDEX(Buffers!$L:$L,MATCH($H1699,Buffers!$AE:$AE,0))="Planned",$E1699&gt;0,INT($B1699)&lt;=PlanDate+ROUNDUP(IF(ISNUMBER(SpikeHorizon),SpikeHorizon,INDEX(Buffers!$D:$D,MATCH($H1699,Buffers!$AE:$AE,0))),0),$E1699&gt;=SpikePct*INDEX(Buffers!$P:$P,MATCH($H1699,Buffers!$AE:$AE,0))),"Spike","Not qualified"))))))</f>
        <v/>
      </c>
      <c r="G1699" s="8" t="str">
        <f aca="false">IF($A1699="","",IF(OR($F1699="Past due",$F1699="Due today",$F1699="Spike"),$C1699,0))</f>
        <v/>
      </c>
      <c r="H1699" s="8" t="str">
        <f aca="false">IF($A1699="","",SUBSTITUTE(SUBSTITUTE(SUBSTITUTE($A1699&amp;"","~","~~"),"*","~*"),"?","~?"))</f>
        <v/>
      </c>
    </row>
    <row r="1700" customFormat="false" ht="15" hidden="false" customHeight="false" outlineLevel="0" collapsed="false">
      <c r="A1700" s="11"/>
      <c r="B1700" s="6"/>
      <c r="C1700" s="11"/>
      <c r="D1700" s="11"/>
      <c r="E1700" s="8" t="str">
        <f aca="false">IF($A1700="","",SUMIFS($C:$C,$A:$A,$H1700,$B:$B,"&gt;="&amp;INT($B1700),$B:$B,"&lt;"&amp;(INT($B1700)+1)))</f>
        <v/>
      </c>
      <c r="F1700" s="19" t="str">
        <f aca="false">IF($A1700="","",IF(ISNA(MATCH($H1700,Buffers!$AE:$AE,0)),"Not on Buffers",IF(NOT(ISNUMBER($B1700)),"Needs a date",IF(INT($B1700)&lt;PlanDate,"Past due",IF(INT($B1700)=PlanDate,"Due today",IF(AND(INDEX(Buffers!$L:$L,MATCH($H1700,Buffers!$AE:$AE,0))="Planned",$E1700&gt;0,INT($B1700)&lt;=PlanDate+ROUNDUP(IF(ISNUMBER(SpikeHorizon),SpikeHorizon,INDEX(Buffers!$D:$D,MATCH($H1700,Buffers!$AE:$AE,0))),0),$E1700&gt;=SpikePct*INDEX(Buffers!$P:$P,MATCH($H1700,Buffers!$AE:$AE,0))),"Spike","Not qualified"))))))</f>
        <v/>
      </c>
      <c r="G1700" s="8" t="str">
        <f aca="false">IF($A1700="","",IF(OR($F1700="Past due",$F1700="Due today",$F1700="Spike"),$C1700,0))</f>
        <v/>
      </c>
      <c r="H1700" s="8" t="str">
        <f aca="false">IF($A1700="","",SUBSTITUTE(SUBSTITUTE(SUBSTITUTE($A1700&amp;"","~","~~"),"*","~*"),"?","~?"))</f>
        <v/>
      </c>
    </row>
    <row r="1701" customFormat="false" ht="15" hidden="false" customHeight="false" outlineLevel="0" collapsed="false">
      <c r="A1701" s="11"/>
      <c r="B1701" s="6"/>
      <c r="C1701" s="11"/>
      <c r="D1701" s="11"/>
      <c r="E1701" s="8" t="str">
        <f aca="false">IF($A1701="","",SUMIFS($C:$C,$A:$A,$H1701,$B:$B,"&gt;="&amp;INT($B1701),$B:$B,"&lt;"&amp;(INT($B1701)+1)))</f>
        <v/>
      </c>
      <c r="F1701" s="19" t="str">
        <f aca="false">IF($A1701="","",IF(ISNA(MATCH($H1701,Buffers!$AE:$AE,0)),"Not on Buffers",IF(NOT(ISNUMBER($B1701)),"Needs a date",IF(INT($B1701)&lt;PlanDate,"Past due",IF(INT($B1701)=PlanDate,"Due today",IF(AND(INDEX(Buffers!$L:$L,MATCH($H1701,Buffers!$AE:$AE,0))="Planned",$E1701&gt;0,INT($B1701)&lt;=PlanDate+ROUNDUP(IF(ISNUMBER(SpikeHorizon),SpikeHorizon,INDEX(Buffers!$D:$D,MATCH($H1701,Buffers!$AE:$AE,0))),0),$E1701&gt;=SpikePct*INDEX(Buffers!$P:$P,MATCH($H1701,Buffers!$AE:$AE,0))),"Spike","Not qualified"))))))</f>
        <v/>
      </c>
      <c r="G1701" s="8" t="str">
        <f aca="false">IF($A1701="","",IF(OR($F1701="Past due",$F1701="Due today",$F1701="Spike"),$C1701,0))</f>
        <v/>
      </c>
      <c r="H1701" s="8" t="str">
        <f aca="false">IF($A1701="","",SUBSTITUTE(SUBSTITUTE(SUBSTITUTE($A1701&amp;"","~","~~"),"*","~*"),"?","~?"))</f>
        <v/>
      </c>
    </row>
    <row r="1702" customFormat="false" ht="15" hidden="false" customHeight="false" outlineLevel="0" collapsed="false">
      <c r="A1702" s="11"/>
      <c r="B1702" s="6"/>
      <c r="C1702" s="11"/>
      <c r="D1702" s="11"/>
      <c r="E1702" s="8" t="str">
        <f aca="false">IF($A1702="","",SUMIFS($C:$C,$A:$A,$H1702,$B:$B,"&gt;="&amp;INT($B1702),$B:$B,"&lt;"&amp;(INT($B1702)+1)))</f>
        <v/>
      </c>
      <c r="F1702" s="19" t="str">
        <f aca="false">IF($A1702="","",IF(ISNA(MATCH($H1702,Buffers!$AE:$AE,0)),"Not on Buffers",IF(NOT(ISNUMBER($B1702)),"Needs a date",IF(INT($B1702)&lt;PlanDate,"Past due",IF(INT($B1702)=PlanDate,"Due today",IF(AND(INDEX(Buffers!$L:$L,MATCH($H1702,Buffers!$AE:$AE,0))="Planned",$E1702&gt;0,INT($B1702)&lt;=PlanDate+ROUNDUP(IF(ISNUMBER(SpikeHorizon),SpikeHorizon,INDEX(Buffers!$D:$D,MATCH($H1702,Buffers!$AE:$AE,0))),0),$E1702&gt;=SpikePct*INDEX(Buffers!$P:$P,MATCH($H1702,Buffers!$AE:$AE,0))),"Spike","Not qualified"))))))</f>
        <v/>
      </c>
      <c r="G1702" s="8" t="str">
        <f aca="false">IF($A1702="","",IF(OR($F1702="Past due",$F1702="Due today",$F1702="Spike"),$C1702,0))</f>
        <v/>
      </c>
      <c r="H1702" s="8" t="str">
        <f aca="false">IF($A1702="","",SUBSTITUTE(SUBSTITUTE(SUBSTITUTE($A1702&amp;"","~","~~"),"*","~*"),"?","~?"))</f>
        <v/>
      </c>
    </row>
    <row r="1703" customFormat="false" ht="15" hidden="false" customHeight="false" outlineLevel="0" collapsed="false">
      <c r="A1703" s="11"/>
      <c r="B1703" s="6"/>
      <c r="C1703" s="11"/>
      <c r="D1703" s="11"/>
      <c r="E1703" s="8" t="str">
        <f aca="false">IF($A1703="","",SUMIFS($C:$C,$A:$A,$H1703,$B:$B,"&gt;="&amp;INT($B1703),$B:$B,"&lt;"&amp;(INT($B1703)+1)))</f>
        <v/>
      </c>
      <c r="F1703" s="19" t="str">
        <f aca="false">IF($A1703="","",IF(ISNA(MATCH($H1703,Buffers!$AE:$AE,0)),"Not on Buffers",IF(NOT(ISNUMBER($B1703)),"Needs a date",IF(INT($B1703)&lt;PlanDate,"Past due",IF(INT($B1703)=PlanDate,"Due today",IF(AND(INDEX(Buffers!$L:$L,MATCH($H1703,Buffers!$AE:$AE,0))="Planned",$E1703&gt;0,INT($B1703)&lt;=PlanDate+ROUNDUP(IF(ISNUMBER(SpikeHorizon),SpikeHorizon,INDEX(Buffers!$D:$D,MATCH($H1703,Buffers!$AE:$AE,0))),0),$E1703&gt;=SpikePct*INDEX(Buffers!$P:$P,MATCH($H1703,Buffers!$AE:$AE,0))),"Spike","Not qualified"))))))</f>
        <v/>
      </c>
      <c r="G1703" s="8" t="str">
        <f aca="false">IF($A1703="","",IF(OR($F1703="Past due",$F1703="Due today",$F1703="Spike"),$C1703,0))</f>
        <v/>
      </c>
      <c r="H1703" s="8" t="str">
        <f aca="false">IF($A1703="","",SUBSTITUTE(SUBSTITUTE(SUBSTITUTE($A1703&amp;"","~","~~"),"*","~*"),"?","~?"))</f>
        <v/>
      </c>
    </row>
    <row r="1704" customFormat="false" ht="15" hidden="false" customHeight="false" outlineLevel="0" collapsed="false">
      <c r="A1704" s="11"/>
      <c r="B1704" s="6"/>
      <c r="C1704" s="11"/>
      <c r="D1704" s="11"/>
      <c r="E1704" s="8" t="str">
        <f aca="false">IF($A1704="","",SUMIFS($C:$C,$A:$A,$H1704,$B:$B,"&gt;="&amp;INT($B1704),$B:$B,"&lt;"&amp;(INT($B1704)+1)))</f>
        <v/>
      </c>
      <c r="F1704" s="19" t="str">
        <f aca="false">IF($A1704="","",IF(ISNA(MATCH($H1704,Buffers!$AE:$AE,0)),"Not on Buffers",IF(NOT(ISNUMBER($B1704)),"Needs a date",IF(INT($B1704)&lt;PlanDate,"Past due",IF(INT($B1704)=PlanDate,"Due today",IF(AND(INDEX(Buffers!$L:$L,MATCH($H1704,Buffers!$AE:$AE,0))="Planned",$E1704&gt;0,INT($B1704)&lt;=PlanDate+ROUNDUP(IF(ISNUMBER(SpikeHorizon),SpikeHorizon,INDEX(Buffers!$D:$D,MATCH($H1704,Buffers!$AE:$AE,0))),0),$E1704&gt;=SpikePct*INDEX(Buffers!$P:$P,MATCH($H1704,Buffers!$AE:$AE,0))),"Spike","Not qualified"))))))</f>
        <v/>
      </c>
      <c r="G1704" s="8" t="str">
        <f aca="false">IF($A1704="","",IF(OR($F1704="Past due",$F1704="Due today",$F1704="Spike"),$C1704,0))</f>
        <v/>
      </c>
      <c r="H1704" s="8" t="str">
        <f aca="false">IF($A1704="","",SUBSTITUTE(SUBSTITUTE(SUBSTITUTE($A1704&amp;"","~","~~"),"*","~*"),"?","~?"))</f>
        <v/>
      </c>
    </row>
    <row r="1705" customFormat="false" ht="15" hidden="false" customHeight="false" outlineLevel="0" collapsed="false">
      <c r="A1705" s="11"/>
      <c r="B1705" s="6"/>
      <c r="C1705" s="11"/>
      <c r="D1705" s="11"/>
      <c r="E1705" s="8" t="str">
        <f aca="false">IF($A1705="","",SUMIFS($C:$C,$A:$A,$H1705,$B:$B,"&gt;="&amp;INT($B1705),$B:$B,"&lt;"&amp;(INT($B1705)+1)))</f>
        <v/>
      </c>
      <c r="F1705" s="19" t="str">
        <f aca="false">IF($A1705="","",IF(ISNA(MATCH($H1705,Buffers!$AE:$AE,0)),"Not on Buffers",IF(NOT(ISNUMBER($B1705)),"Needs a date",IF(INT($B1705)&lt;PlanDate,"Past due",IF(INT($B1705)=PlanDate,"Due today",IF(AND(INDEX(Buffers!$L:$L,MATCH($H1705,Buffers!$AE:$AE,0))="Planned",$E1705&gt;0,INT($B1705)&lt;=PlanDate+ROUNDUP(IF(ISNUMBER(SpikeHorizon),SpikeHorizon,INDEX(Buffers!$D:$D,MATCH($H1705,Buffers!$AE:$AE,0))),0),$E1705&gt;=SpikePct*INDEX(Buffers!$P:$P,MATCH($H1705,Buffers!$AE:$AE,0))),"Spike","Not qualified"))))))</f>
        <v/>
      </c>
      <c r="G1705" s="8" t="str">
        <f aca="false">IF($A1705="","",IF(OR($F1705="Past due",$F1705="Due today",$F1705="Spike"),$C1705,0))</f>
        <v/>
      </c>
      <c r="H1705" s="8" t="str">
        <f aca="false">IF($A1705="","",SUBSTITUTE(SUBSTITUTE(SUBSTITUTE($A1705&amp;"","~","~~"),"*","~*"),"?","~?"))</f>
        <v/>
      </c>
    </row>
    <row r="1706" customFormat="false" ht="15" hidden="false" customHeight="false" outlineLevel="0" collapsed="false">
      <c r="A1706" s="11"/>
      <c r="B1706" s="6"/>
      <c r="C1706" s="11"/>
      <c r="D1706" s="11"/>
      <c r="E1706" s="8" t="str">
        <f aca="false">IF($A1706="","",SUMIFS($C:$C,$A:$A,$H1706,$B:$B,"&gt;="&amp;INT($B1706),$B:$B,"&lt;"&amp;(INT($B1706)+1)))</f>
        <v/>
      </c>
      <c r="F1706" s="19" t="str">
        <f aca="false">IF($A1706="","",IF(ISNA(MATCH($H1706,Buffers!$AE:$AE,0)),"Not on Buffers",IF(NOT(ISNUMBER($B1706)),"Needs a date",IF(INT($B1706)&lt;PlanDate,"Past due",IF(INT($B1706)=PlanDate,"Due today",IF(AND(INDEX(Buffers!$L:$L,MATCH($H1706,Buffers!$AE:$AE,0))="Planned",$E1706&gt;0,INT($B1706)&lt;=PlanDate+ROUNDUP(IF(ISNUMBER(SpikeHorizon),SpikeHorizon,INDEX(Buffers!$D:$D,MATCH($H1706,Buffers!$AE:$AE,0))),0),$E1706&gt;=SpikePct*INDEX(Buffers!$P:$P,MATCH($H1706,Buffers!$AE:$AE,0))),"Spike","Not qualified"))))))</f>
        <v/>
      </c>
      <c r="G1706" s="8" t="str">
        <f aca="false">IF($A1706="","",IF(OR($F1706="Past due",$F1706="Due today",$F1706="Spike"),$C1706,0))</f>
        <v/>
      </c>
      <c r="H1706" s="8" t="str">
        <f aca="false">IF($A1706="","",SUBSTITUTE(SUBSTITUTE(SUBSTITUTE($A1706&amp;"","~","~~"),"*","~*"),"?","~?"))</f>
        <v/>
      </c>
    </row>
    <row r="1707" customFormat="false" ht="15" hidden="false" customHeight="false" outlineLevel="0" collapsed="false">
      <c r="A1707" s="11"/>
      <c r="B1707" s="6"/>
      <c r="C1707" s="11"/>
      <c r="D1707" s="11"/>
      <c r="E1707" s="8" t="str">
        <f aca="false">IF($A1707="","",SUMIFS($C:$C,$A:$A,$H1707,$B:$B,"&gt;="&amp;INT($B1707),$B:$B,"&lt;"&amp;(INT($B1707)+1)))</f>
        <v/>
      </c>
      <c r="F1707" s="19" t="str">
        <f aca="false">IF($A1707="","",IF(ISNA(MATCH($H1707,Buffers!$AE:$AE,0)),"Not on Buffers",IF(NOT(ISNUMBER($B1707)),"Needs a date",IF(INT($B1707)&lt;PlanDate,"Past due",IF(INT($B1707)=PlanDate,"Due today",IF(AND(INDEX(Buffers!$L:$L,MATCH($H1707,Buffers!$AE:$AE,0))="Planned",$E1707&gt;0,INT($B1707)&lt;=PlanDate+ROUNDUP(IF(ISNUMBER(SpikeHorizon),SpikeHorizon,INDEX(Buffers!$D:$D,MATCH($H1707,Buffers!$AE:$AE,0))),0),$E1707&gt;=SpikePct*INDEX(Buffers!$P:$P,MATCH($H1707,Buffers!$AE:$AE,0))),"Spike","Not qualified"))))))</f>
        <v/>
      </c>
      <c r="G1707" s="8" t="str">
        <f aca="false">IF($A1707="","",IF(OR($F1707="Past due",$F1707="Due today",$F1707="Spike"),$C1707,0))</f>
        <v/>
      </c>
      <c r="H1707" s="8" t="str">
        <f aca="false">IF($A1707="","",SUBSTITUTE(SUBSTITUTE(SUBSTITUTE($A1707&amp;"","~","~~"),"*","~*"),"?","~?"))</f>
        <v/>
      </c>
    </row>
    <row r="1708" customFormat="false" ht="15" hidden="false" customHeight="false" outlineLevel="0" collapsed="false">
      <c r="A1708" s="11"/>
      <c r="B1708" s="6"/>
      <c r="C1708" s="11"/>
      <c r="D1708" s="11"/>
      <c r="E1708" s="8" t="str">
        <f aca="false">IF($A1708="","",SUMIFS($C:$C,$A:$A,$H1708,$B:$B,"&gt;="&amp;INT($B1708),$B:$B,"&lt;"&amp;(INT($B1708)+1)))</f>
        <v/>
      </c>
      <c r="F1708" s="19" t="str">
        <f aca="false">IF($A1708="","",IF(ISNA(MATCH($H1708,Buffers!$AE:$AE,0)),"Not on Buffers",IF(NOT(ISNUMBER($B1708)),"Needs a date",IF(INT($B1708)&lt;PlanDate,"Past due",IF(INT($B1708)=PlanDate,"Due today",IF(AND(INDEX(Buffers!$L:$L,MATCH($H1708,Buffers!$AE:$AE,0))="Planned",$E1708&gt;0,INT($B1708)&lt;=PlanDate+ROUNDUP(IF(ISNUMBER(SpikeHorizon),SpikeHorizon,INDEX(Buffers!$D:$D,MATCH($H1708,Buffers!$AE:$AE,0))),0),$E1708&gt;=SpikePct*INDEX(Buffers!$P:$P,MATCH($H1708,Buffers!$AE:$AE,0))),"Spike","Not qualified"))))))</f>
        <v/>
      </c>
      <c r="G1708" s="8" t="str">
        <f aca="false">IF($A1708="","",IF(OR($F1708="Past due",$F1708="Due today",$F1708="Spike"),$C1708,0))</f>
        <v/>
      </c>
      <c r="H1708" s="8" t="str">
        <f aca="false">IF($A1708="","",SUBSTITUTE(SUBSTITUTE(SUBSTITUTE($A1708&amp;"","~","~~"),"*","~*"),"?","~?"))</f>
        <v/>
      </c>
    </row>
    <row r="1709" customFormat="false" ht="15" hidden="false" customHeight="false" outlineLevel="0" collapsed="false">
      <c r="A1709" s="11"/>
      <c r="B1709" s="6"/>
      <c r="C1709" s="11"/>
      <c r="D1709" s="11"/>
      <c r="E1709" s="8" t="str">
        <f aca="false">IF($A1709="","",SUMIFS($C:$C,$A:$A,$H1709,$B:$B,"&gt;="&amp;INT($B1709),$B:$B,"&lt;"&amp;(INT($B1709)+1)))</f>
        <v/>
      </c>
      <c r="F1709" s="19" t="str">
        <f aca="false">IF($A1709="","",IF(ISNA(MATCH($H1709,Buffers!$AE:$AE,0)),"Not on Buffers",IF(NOT(ISNUMBER($B1709)),"Needs a date",IF(INT($B1709)&lt;PlanDate,"Past due",IF(INT($B1709)=PlanDate,"Due today",IF(AND(INDEX(Buffers!$L:$L,MATCH($H1709,Buffers!$AE:$AE,0))="Planned",$E1709&gt;0,INT($B1709)&lt;=PlanDate+ROUNDUP(IF(ISNUMBER(SpikeHorizon),SpikeHorizon,INDEX(Buffers!$D:$D,MATCH($H1709,Buffers!$AE:$AE,0))),0),$E1709&gt;=SpikePct*INDEX(Buffers!$P:$P,MATCH($H1709,Buffers!$AE:$AE,0))),"Spike","Not qualified"))))))</f>
        <v/>
      </c>
      <c r="G1709" s="8" t="str">
        <f aca="false">IF($A1709="","",IF(OR($F1709="Past due",$F1709="Due today",$F1709="Spike"),$C1709,0))</f>
        <v/>
      </c>
      <c r="H1709" s="8" t="str">
        <f aca="false">IF($A1709="","",SUBSTITUTE(SUBSTITUTE(SUBSTITUTE($A1709&amp;"","~","~~"),"*","~*"),"?","~?"))</f>
        <v/>
      </c>
    </row>
    <row r="1710" customFormat="false" ht="15" hidden="false" customHeight="false" outlineLevel="0" collapsed="false">
      <c r="A1710" s="11"/>
      <c r="B1710" s="6"/>
      <c r="C1710" s="11"/>
      <c r="D1710" s="11"/>
      <c r="E1710" s="8" t="str">
        <f aca="false">IF($A1710="","",SUMIFS($C:$C,$A:$A,$H1710,$B:$B,"&gt;="&amp;INT($B1710),$B:$B,"&lt;"&amp;(INT($B1710)+1)))</f>
        <v/>
      </c>
      <c r="F1710" s="19" t="str">
        <f aca="false">IF($A1710="","",IF(ISNA(MATCH($H1710,Buffers!$AE:$AE,0)),"Not on Buffers",IF(NOT(ISNUMBER($B1710)),"Needs a date",IF(INT($B1710)&lt;PlanDate,"Past due",IF(INT($B1710)=PlanDate,"Due today",IF(AND(INDEX(Buffers!$L:$L,MATCH($H1710,Buffers!$AE:$AE,0))="Planned",$E1710&gt;0,INT($B1710)&lt;=PlanDate+ROUNDUP(IF(ISNUMBER(SpikeHorizon),SpikeHorizon,INDEX(Buffers!$D:$D,MATCH($H1710,Buffers!$AE:$AE,0))),0),$E1710&gt;=SpikePct*INDEX(Buffers!$P:$P,MATCH($H1710,Buffers!$AE:$AE,0))),"Spike","Not qualified"))))))</f>
        <v/>
      </c>
      <c r="G1710" s="8" t="str">
        <f aca="false">IF($A1710="","",IF(OR($F1710="Past due",$F1710="Due today",$F1710="Spike"),$C1710,0))</f>
        <v/>
      </c>
      <c r="H1710" s="8" t="str">
        <f aca="false">IF($A1710="","",SUBSTITUTE(SUBSTITUTE(SUBSTITUTE($A1710&amp;"","~","~~"),"*","~*"),"?","~?"))</f>
        <v/>
      </c>
    </row>
    <row r="1711" customFormat="false" ht="15" hidden="false" customHeight="false" outlineLevel="0" collapsed="false">
      <c r="A1711" s="11"/>
      <c r="B1711" s="6"/>
      <c r="C1711" s="11"/>
      <c r="D1711" s="11"/>
      <c r="E1711" s="8" t="str">
        <f aca="false">IF($A1711="","",SUMIFS($C:$C,$A:$A,$H1711,$B:$B,"&gt;="&amp;INT($B1711),$B:$B,"&lt;"&amp;(INT($B1711)+1)))</f>
        <v/>
      </c>
      <c r="F1711" s="19" t="str">
        <f aca="false">IF($A1711="","",IF(ISNA(MATCH($H1711,Buffers!$AE:$AE,0)),"Not on Buffers",IF(NOT(ISNUMBER($B1711)),"Needs a date",IF(INT($B1711)&lt;PlanDate,"Past due",IF(INT($B1711)=PlanDate,"Due today",IF(AND(INDEX(Buffers!$L:$L,MATCH($H1711,Buffers!$AE:$AE,0))="Planned",$E1711&gt;0,INT($B1711)&lt;=PlanDate+ROUNDUP(IF(ISNUMBER(SpikeHorizon),SpikeHorizon,INDEX(Buffers!$D:$D,MATCH($H1711,Buffers!$AE:$AE,0))),0),$E1711&gt;=SpikePct*INDEX(Buffers!$P:$P,MATCH($H1711,Buffers!$AE:$AE,0))),"Spike","Not qualified"))))))</f>
        <v/>
      </c>
      <c r="G1711" s="8" t="str">
        <f aca="false">IF($A1711="","",IF(OR($F1711="Past due",$F1711="Due today",$F1711="Spike"),$C1711,0))</f>
        <v/>
      </c>
      <c r="H1711" s="8" t="str">
        <f aca="false">IF($A1711="","",SUBSTITUTE(SUBSTITUTE(SUBSTITUTE($A1711&amp;"","~","~~"),"*","~*"),"?","~?"))</f>
        <v/>
      </c>
    </row>
    <row r="1712" customFormat="false" ht="15" hidden="false" customHeight="false" outlineLevel="0" collapsed="false">
      <c r="A1712" s="11"/>
      <c r="B1712" s="6"/>
      <c r="C1712" s="11"/>
      <c r="D1712" s="11"/>
      <c r="E1712" s="8" t="str">
        <f aca="false">IF($A1712="","",SUMIFS($C:$C,$A:$A,$H1712,$B:$B,"&gt;="&amp;INT($B1712),$B:$B,"&lt;"&amp;(INT($B1712)+1)))</f>
        <v/>
      </c>
      <c r="F1712" s="19" t="str">
        <f aca="false">IF($A1712="","",IF(ISNA(MATCH($H1712,Buffers!$AE:$AE,0)),"Not on Buffers",IF(NOT(ISNUMBER($B1712)),"Needs a date",IF(INT($B1712)&lt;PlanDate,"Past due",IF(INT($B1712)=PlanDate,"Due today",IF(AND(INDEX(Buffers!$L:$L,MATCH($H1712,Buffers!$AE:$AE,0))="Planned",$E1712&gt;0,INT($B1712)&lt;=PlanDate+ROUNDUP(IF(ISNUMBER(SpikeHorizon),SpikeHorizon,INDEX(Buffers!$D:$D,MATCH($H1712,Buffers!$AE:$AE,0))),0),$E1712&gt;=SpikePct*INDEX(Buffers!$P:$P,MATCH($H1712,Buffers!$AE:$AE,0))),"Spike","Not qualified"))))))</f>
        <v/>
      </c>
      <c r="G1712" s="8" t="str">
        <f aca="false">IF($A1712="","",IF(OR($F1712="Past due",$F1712="Due today",$F1712="Spike"),$C1712,0))</f>
        <v/>
      </c>
      <c r="H1712" s="8" t="str">
        <f aca="false">IF($A1712="","",SUBSTITUTE(SUBSTITUTE(SUBSTITUTE($A1712&amp;"","~","~~"),"*","~*"),"?","~?"))</f>
        <v/>
      </c>
    </row>
    <row r="1713" customFormat="false" ht="15" hidden="false" customHeight="false" outlineLevel="0" collapsed="false">
      <c r="A1713" s="11"/>
      <c r="B1713" s="6"/>
      <c r="C1713" s="11"/>
      <c r="D1713" s="11"/>
      <c r="E1713" s="8" t="str">
        <f aca="false">IF($A1713="","",SUMIFS($C:$C,$A:$A,$H1713,$B:$B,"&gt;="&amp;INT($B1713),$B:$B,"&lt;"&amp;(INT($B1713)+1)))</f>
        <v/>
      </c>
      <c r="F1713" s="19" t="str">
        <f aca="false">IF($A1713="","",IF(ISNA(MATCH($H1713,Buffers!$AE:$AE,0)),"Not on Buffers",IF(NOT(ISNUMBER($B1713)),"Needs a date",IF(INT($B1713)&lt;PlanDate,"Past due",IF(INT($B1713)=PlanDate,"Due today",IF(AND(INDEX(Buffers!$L:$L,MATCH($H1713,Buffers!$AE:$AE,0))="Planned",$E1713&gt;0,INT($B1713)&lt;=PlanDate+ROUNDUP(IF(ISNUMBER(SpikeHorizon),SpikeHorizon,INDEX(Buffers!$D:$D,MATCH($H1713,Buffers!$AE:$AE,0))),0),$E1713&gt;=SpikePct*INDEX(Buffers!$P:$P,MATCH($H1713,Buffers!$AE:$AE,0))),"Spike","Not qualified"))))))</f>
        <v/>
      </c>
      <c r="G1713" s="8" t="str">
        <f aca="false">IF($A1713="","",IF(OR($F1713="Past due",$F1713="Due today",$F1713="Spike"),$C1713,0))</f>
        <v/>
      </c>
      <c r="H1713" s="8" t="str">
        <f aca="false">IF($A1713="","",SUBSTITUTE(SUBSTITUTE(SUBSTITUTE($A1713&amp;"","~","~~"),"*","~*"),"?","~?"))</f>
        <v/>
      </c>
    </row>
    <row r="1714" customFormat="false" ht="15" hidden="false" customHeight="false" outlineLevel="0" collapsed="false">
      <c r="A1714" s="11"/>
      <c r="B1714" s="6"/>
      <c r="C1714" s="11"/>
      <c r="D1714" s="11"/>
      <c r="E1714" s="8" t="str">
        <f aca="false">IF($A1714="","",SUMIFS($C:$C,$A:$A,$H1714,$B:$B,"&gt;="&amp;INT($B1714),$B:$B,"&lt;"&amp;(INT($B1714)+1)))</f>
        <v/>
      </c>
      <c r="F1714" s="19" t="str">
        <f aca="false">IF($A1714="","",IF(ISNA(MATCH($H1714,Buffers!$AE:$AE,0)),"Not on Buffers",IF(NOT(ISNUMBER($B1714)),"Needs a date",IF(INT($B1714)&lt;PlanDate,"Past due",IF(INT($B1714)=PlanDate,"Due today",IF(AND(INDEX(Buffers!$L:$L,MATCH($H1714,Buffers!$AE:$AE,0))="Planned",$E1714&gt;0,INT($B1714)&lt;=PlanDate+ROUNDUP(IF(ISNUMBER(SpikeHorizon),SpikeHorizon,INDEX(Buffers!$D:$D,MATCH($H1714,Buffers!$AE:$AE,0))),0),$E1714&gt;=SpikePct*INDEX(Buffers!$P:$P,MATCH($H1714,Buffers!$AE:$AE,0))),"Spike","Not qualified"))))))</f>
        <v/>
      </c>
      <c r="G1714" s="8" t="str">
        <f aca="false">IF($A1714="","",IF(OR($F1714="Past due",$F1714="Due today",$F1714="Spike"),$C1714,0))</f>
        <v/>
      </c>
      <c r="H1714" s="8" t="str">
        <f aca="false">IF($A1714="","",SUBSTITUTE(SUBSTITUTE(SUBSTITUTE($A1714&amp;"","~","~~"),"*","~*"),"?","~?"))</f>
        <v/>
      </c>
    </row>
    <row r="1715" customFormat="false" ht="15" hidden="false" customHeight="false" outlineLevel="0" collapsed="false">
      <c r="A1715" s="11"/>
      <c r="B1715" s="6"/>
      <c r="C1715" s="11"/>
      <c r="D1715" s="11"/>
      <c r="E1715" s="8" t="str">
        <f aca="false">IF($A1715="","",SUMIFS($C:$C,$A:$A,$H1715,$B:$B,"&gt;="&amp;INT($B1715),$B:$B,"&lt;"&amp;(INT($B1715)+1)))</f>
        <v/>
      </c>
      <c r="F1715" s="19" t="str">
        <f aca="false">IF($A1715="","",IF(ISNA(MATCH($H1715,Buffers!$AE:$AE,0)),"Not on Buffers",IF(NOT(ISNUMBER($B1715)),"Needs a date",IF(INT($B1715)&lt;PlanDate,"Past due",IF(INT($B1715)=PlanDate,"Due today",IF(AND(INDEX(Buffers!$L:$L,MATCH($H1715,Buffers!$AE:$AE,0))="Planned",$E1715&gt;0,INT($B1715)&lt;=PlanDate+ROUNDUP(IF(ISNUMBER(SpikeHorizon),SpikeHorizon,INDEX(Buffers!$D:$D,MATCH($H1715,Buffers!$AE:$AE,0))),0),$E1715&gt;=SpikePct*INDEX(Buffers!$P:$P,MATCH($H1715,Buffers!$AE:$AE,0))),"Spike","Not qualified"))))))</f>
        <v/>
      </c>
      <c r="G1715" s="8" t="str">
        <f aca="false">IF($A1715="","",IF(OR($F1715="Past due",$F1715="Due today",$F1715="Spike"),$C1715,0))</f>
        <v/>
      </c>
      <c r="H1715" s="8" t="str">
        <f aca="false">IF($A1715="","",SUBSTITUTE(SUBSTITUTE(SUBSTITUTE($A1715&amp;"","~","~~"),"*","~*"),"?","~?"))</f>
        <v/>
      </c>
    </row>
    <row r="1716" customFormat="false" ht="15" hidden="false" customHeight="false" outlineLevel="0" collapsed="false">
      <c r="A1716" s="11"/>
      <c r="B1716" s="6"/>
      <c r="C1716" s="11"/>
      <c r="D1716" s="11"/>
      <c r="E1716" s="8" t="str">
        <f aca="false">IF($A1716="","",SUMIFS($C:$C,$A:$A,$H1716,$B:$B,"&gt;="&amp;INT($B1716),$B:$B,"&lt;"&amp;(INT($B1716)+1)))</f>
        <v/>
      </c>
      <c r="F1716" s="19" t="str">
        <f aca="false">IF($A1716="","",IF(ISNA(MATCH($H1716,Buffers!$AE:$AE,0)),"Not on Buffers",IF(NOT(ISNUMBER($B1716)),"Needs a date",IF(INT($B1716)&lt;PlanDate,"Past due",IF(INT($B1716)=PlanDate,"Due today",IF(AND(INDEX(Buffers!$L:$L,MATCH($H1716,Buffers!$AE:$AE,0))="Planned",$E1716&gt;0,INT($B1716)&lt;=PlanDate+ROUNDUP(IF(ISNUMBER(SpikeHorizon),SpikeHorizon,INDEX(Buffers!$D:$D,MATCH($H1716,Buffers!$AE:$AE,0))),0),$E1716&gt;=SpikePct*INDEX(Buffers!$P:$P,MATCH($H1716,Buffers!$AE:$AE,0))),"Spike","Not qualified"))))))</f>
        <v/>
      </c>
      <c r="G1716" s="8" t="str">
        <f aca="false">IF($A1716="","",IF(OR($F1716="Past due",$F1716="Due today",$F1716="Spike"),$C1716,0))</f>
        <v/>
      </c>
      <c r="H1716" s="8" t="str">
        <f aca="false">IF($A1716="","",SUBSTITUTE(SUBSTITUTE(SUBSTITUTE($A1716&amp;"","~","~~"),"*","~*"),"?","~?"))</f>
        <v/>
      </c>
    </row>
    <row r="1717" customFormat="false" ht="15" hidden="false" customHeight="false" outlineLevel="0" collapsed="false">
      <c r="A1717" s="11"/>
      <c r="B1717" s="6"/>
      <c r="C1717" s="11"/>
      <c r="D1717" s="11"/>
      <c r="E1717" s="8" t="str">
        <f aca="false">IF($A1717="","",SUMIFS($C:$C,$A:$A,$H1717,$B:$B,"&gt;="&amp;INT($B1717),$B:$B,"&lt;"&amp;(INT($B1717)+1)))</f>
        <v/>
      </c>
      <c r="F1717" s="19" t="str">
        <f aca="false">IF($A1717="","",IF(ISNA(MATCH($H1717,Buffers!$AE:$AE,0)),"Not on Buffers",IF(NOT(ISNUMBER($B1717)),"Needs a date",IF(INT($B1717)&lt;PlanDate,"Past due",IF(INT($B1717)=PlanDate,"Due today",IF(AND(INDEX(Buffers!$L:$L,MATCH($H1717,Buffers!$AE:$AE,0))="Planned",$E1717&gt;0,INT($B1717)&lt;=PlanDate+ROUNDUP(IF(ISNUMBER(SpikeHorizon),SpikeHorizon,INDEX(Buffers!$D:$D,MATCH($H1717,Buffers!$AE:$AE,0))),0),$E1717&gt;=SpikePct*INDEX(Buffers!$P:$P,MATCH($H1717,Buffers!$AE:$AE,0))),"Spike","Not qualified"))))))</f>
        <v/>
      </c>
      <c r="G1717" s="8" t="str">
        <f aca="false">IF($A1717="","",IF(OR($F1717="Past due",$F1717="Due today",$F1717="Spike"),$C1717,0))</f>
        <v/>
      </c>
      <c r="H1717" s="8" t="str">
        <f aca="false">IF($A1717="","",SUBSTITUTE(SUBSTITUTE(SUBSTITUTE($A1717&amp;"","~","~~"),"*","~*"),"?","~?"))</f>
        <v/>
      </c>
    </row>
    <row r="1718" customFormat="false" ht="15" hidden="false" customHeight="false" outlineLevel="0" collapsed="false">
      <c r="A1718" s="11"/>
      <c r="B1718" s="6"/>
      <c r="C1718" s="11"/>
      <c r="D1718" s="11"/>
      <c r="E1718" s="8" t="str">
        <f aca="false">IF($A1718="","",SUMIFS($C:$C,$A:$A,$H1718,$B:$B,"&gt;="&amp;INT($B1718),$B:$B,"&lt;"&amp;(INT($B1718)+1)))</f>
        <v/>
      </c>
      <c r="F1718" s="19" t="str">
        <f aca="false">IF($A1718="","",IF(ISNA(MATCH($H1718,Buffers!$AE:$AE,0)),"Not on Buffers",IF(NOT(ISNUMBER($B1718)),"Needs a date",IF(INT($B1718)&lt;PlanDate,"Past due",IF(INT($B1718)=PlanDate,"Due today",IF(AND(INDEX(Buffers!$L:$L,MATCH($H1718,Buffers!$AE:$AE,0))="Planned",$E1718&gt;0,INT($B1718)&lt;=PlanDate+ROUNDUP(IF(ISNUMBER(SpikeHorizon),SpikeHorizon,INDEX(Buffers!$D:$D,MATCH($H1718,Buffers!$AE:$AE,0))),0),$E1718&gt;=SpikePct*INDEX(Buffers!$P:$P,MATCH($H1718,Buffers!$AE:$AE,0))),"Spike","Not qualified"))))))</f>
        <v/>
      </c>
      <c r="G1718" s="8" t="str">
        <f aca="false">IF($A1718="","",IF(OR($F1718="Past due",$F1718="Due today",$F1718="Spike"),$C1718,0))</f>
        <v/>
      </c>
      <c r="H1718" s="8" t="str">
        <f aca="false">IF($A1718="","",SUBSTITUTE(SUBSTITUTE(SUBSTITUTE($A1718&amp;"","~","~~"),"*","~*"),"?","~?"))</f>
        <v/>
      </c>
    </row>
    <row r="1719" customFormat="false" ht="15" hidden="false" customHeight="false" outlineLevel="0" collapsed="false">
      <c r="A1719" s="11"/>
      <c r="B1719" s="6"/>
      <c r="C1719" s="11"/>
      <c r="D1719" s="11"/>
      <c r="E1719" s="8" t="str">
        <f aca="false">IF($A1719="","",SUMIFS($C:$C,$A:$A,$H1719,$B:$B,"&gt;="&amp;INT($B1719),$B:$B,"&lt;"&amp;(INT($B1719)+1)))</f>
        <v/>
      </c>
      <c r="F1719" s="19" t="str">
        <f aca="false">IF($A1719="","",IF(ISNA(MATCH($H1719,Buffers!$AE:$AE,0)),"Not on Buffers",IF(NOT(ISNUMBER($B1719)),"Needs a date",IF(INT($B1719)&lt;PlanDate,"Past due",IF(INT($B1719)=PlanDate,"Due today",IF(AND(INDEX(Buffers!$L:$L,MATCH($H1719,Buffers!$AE:$AE,0))="Planned",$E1719&gt;0,INT($B1719)&lt;=PlanDate+ROUNDUP(IF(ISNUMBER(SpikeHorizon),SpikeHorizon,INDEX(Buffers!$D:$D,MATCH($H1719,Buffers!$AE:$AE,0))),0),$E1719&gt;=SpikePct*INDEX(Buffers!$P:$P,MATCH($H1719,Buffers!$AE:$AE,0))),"Spike","Not qualified"))))))</f>
        <v/>
      </c>
      <c r="G1719" s="8" t="str">
        <f aca="false">IF($A1719="","",IF(OR($F1719="Past due",$F1719="Due today",$F1719="Spike"),$C1719,0))</f>
        <v/>
      </c>
      <c r="H1719" s="8" t="str">
        <f aca="false">IF($A1719="","",SUBSTITUTE(SUBSTITUTE(SUBSTITUTE($A1719&amp;"","~","~~"),"*","~*"),"?","~?"))</f>
        <v/>
      </c>
    </row>
    <row r="1720" customFormat="false" ht="15" hidden="false" customHeight="false" outlineLevel="0" collapsed="false">
      <c r="A1720" s="11"/>
      <c r="B1720" s="6"/>
      <c r="C1720" s="11"/>
      <c r="D1720" s="11"/>
      <c r="E1720" s="8" t="str">
        <f aca="false">IF($A1720="","",SUMIFS($C:$C,$A:$A,$H1720,$B:$B,"&gt;="&amp;INT($B1720),$B:$B,"&lt;"&amp;(INT($B1720)+1)))</f>
        <v/>
      </c>
      <c r="F1720" s="19" t="str">
        <f aca="false">IF($A1720="","",IF(ISNA(MATCH($H1720,Buffers!$AE:$AE,0)),"Not on Buffers",IF(NOT(ISNUMBER($B1720)),"Needs a date",IF(INT($B1720)&lt;PlanDate,"Past due",IF(INT($B1720)=PlanDate,"Due today",IF(AND(INDEX(Buffers!$L:$L,MATCH($H1720,Buffers!$AE:$AE,0))="Planned",$E1720&gt;0,INT($B1720)&lt;=PlanDate+ROUNDUP(IF(ISNUMBER(SpikeHorizon),SpikeHorizon,INDEX(Buffers!$D:$D,MATCH($H1720,Buffers!$AE:$AE,0))),0),$E1720&gt;=SpikePct*INDEX(Buffers!$P:$P,MATCH($H1720,Buffers!$AE:$AE,0))),"Spike","Not qualified"))))))</f>
        <v/>
      </c>
      <c r="G1720" s="8" t="str">
        <f aca="false">IF($A1720="","",IF(OR($F1720="Past due",$F1720="Due today",$F1720="Spike"),$C1720,0))</f>
        <v/>
      </c>
      <c r="H1720" s="8" t="str">
        <f aca="false">IF($A1720="","",SUBSTITUTE(SUBSTITUTE(SUBSTITUTE($A1720&amp;"","~","~~"),"*","~*"),"?","~?"))</f>
        <v/>
      </c>
    </row>
    <row r="1721" customFormat="false" ht="15" hidden="false" customHeight="false" outlineLevel="0" collapsed="false">
      <c r="A1721" s="11"/>
      <c r="B1721" s="6"/>
      <c r="C1721" s="11"/>
      <c r="D1721" s="11"/>
      <c r="E1721" s="8" t="str">
        <f aca="false">IF($A1721="","",SUMIFS($C:$C,$A:$A,$H1721,$B:$B,"&gt;="&amp;INT($B1721),$B:$B,"&lt;"&amp;(INT($B1721)+1)))</f>
        <v/>
      </c>
      <c r="F1721" s="19" t="str">
        <f aca="false">IF($A1721="","",IF(ISNA(MATCH($H1721,Buffers!$AE:$AE,0)),"Not on Buffers",IF(NOT(ISNUMBER($B1721)),"Needs a date",IF(INT($B1721)&lt;PlanDate,"Past due",IF(INT($B1721)=PlanDate,"Due today",IF(AND(INDEX(Buffers!$L:$L,MATCH($H1721,Buffers!$AE:$AE,0))="Planned",$E1721&gt;0,INT($B1721)&lt;=PlanDate+ROUNDUP(IF(ISNUMBER(SpikeHorizon),SpikeHorizon,INDEX(Buffers!$D:$D,MATCH($H1721,Buffers!$AE:$AE,0))),0),$E1721&gt;=SpikePct*INDEX(Buffers!$P:$P,MATCH($H1721,Buffers!$AE:$AE,0))),"Spike","Not qualified"))))))</f>
        <v/>
      </c>
      <c r="G1721" s="8" t="str">
        <f aca="false">IF($A1721="","",IF(OR($F1721="Past due",$F1721="Due today",$F1721="Spike"),$C1721,0))</f>
        <v/>
      </c>
      <c r="H1721" s="8" t="str">
        <f aca="false">IF($A1721="","",SUBSTITUTE(SUBSTITUTE(SUBSTITUTE($A1721&amp;"","~","~~"),"*","~*"),"?","~?"))</f>
        <v/>
      </c>
    </row>
    <row r="1722" customFormat="false" ht="15" hidden="false" customHeight="false" outlineLevel="0" collapsed="false">
      <c r="A1722" s="11"/>
      <c r="B1722" s="6"/>
      <c r="C1722" s="11"/>
      <c r="D1722" s="11"/>
      <c r="E1722" s="8" t="str">
        <f aca="false">IF($A1722="","",SUMIFS($C:$C,$A:$A,$H1722,$B:$B,"&gt;="&amp;INT($B1722),$B:$B,"&lt;"&amp;(INT($B1722)+1)))</f>
        <v/>
      </c>
      <c r="F1722" s="19" t="str">
        <f aca="false">IF($A1722="","",IF(ISNA(MATCH($H1722,Buffers!$AE:$AE,0)),"Not on Buffers",IF(NOT(ISNUMBER($B1722)),"Needs a date",IF(INT($B1722)&lt;PlanDate,"Past due",IF(INT($B1722)=PlanDate,"Due today",IF(AND(INDEX(Buffers!$L:$L,MATCH($H1722,Buffers!$AE:$AE,0))="Planned",$E1722&gt;0,INT($B1722)&lt;=PlanDate+ROUNDUP(IF(ISNUMBER(SpikeHorizon),SpikeHorizon,INDEX(Buffers!$D:$D,MATCH($H1722,Buffers!$AE:$AE,0))),0),$E1722&gt;=SpikePct*INDEX(Buffers!$P:$P,MATCH($H1722,Buffers!$AE:$AE,0))),"Spike","Not qualified"))))))</f>
        <v/>
      </c>
      <c r="G1722" s="8" t="str">
        <f aca="false">IF($A1722="","",IF(OR($F1722="Past due",$F1722="Due today",$F1722="Spike"),$C1722,0))</f>
        <v/>
      </c>
      <c r="H1722" s="8" t="str">
        <f aca="false">IF($A1722="","",SUBSTITUTE(SUBSTITUTE(SUBSTITUTE($A1722&amp;"","~","~~"),"*","~*"),"?","~?"))</f>
        <v/>
      </c>
    </row>
    <row r="1723" customFormat="false" ht="15" hidden="false" customHeight="false" outlineLevel="0" collapsed="false">
      <c r="A1723" s="11"/>
      <c r="B1723" s="6"/>
      <c r="C1723" s="11"/>
      <c r="D1723" s="11"/>
      <c r="E1723" s="8" t="str">
        <f aca="false">IF($A1723="","",SUMIFS($C:$C,$A:$A,$H1723,$B:$B,"&gt;="&amp;INT($B1723),$B:$B,"&lt;"&amp;(INT($B1723)+1)))</f>
        <v/>
      </c>
      <c r="F1723" s="19" t="str">
        <f aca="false">IF($A1723="","",IF(ISNA(MATCH($H1723,Buffers!$AE:$AE,0)),"Not on Buffers",IF(NOT(ISNUMBER($B1723)),"Needs a date",IF(INT($B1723)&lt;PlanDate,"Past due",IF(INT($B1723)=PlanDate,"Due today",IF(AND(INDEX(Buffers!$L:$L,MATCH($H1723,Buffers!$AE:$AE,0))="Planned",$E1723&gt;0,INT($B1723)&lt;=PlanDate+ROUNDUP(IF(ISNUMBER(SpikeHorizon),SpikeHorizon,INDEX(Buffers!$D:$D,MATCH($H1723,Buffers!$AE:$AE,0))),0),$E1723&gt;=SpikePct*INDEX(Buffers!$P:$P,MATCH($H1723,Buffers!$AE:$AE,0))),"Spike","Not qualified"))))))</f>
        <v/>
      </c>
      <c r="G1723" s="8" t="str">
        <f aca="false">IF($A1723="","",IF(OR($F1723="Past due",$F1723="Due today",$F1723="Spike"),$C1723,0))</f>
        <v/>
      </c>
      <c r="H1723" s="8" t="str">
        <f aca="false">IF($A1723="","",SUBSTITUTE(SUBSTITUTE(SUBSTITUTE($A1723&amp;"","~","~~"),"*","~*"),"?","~?"))</f>
        <v/>
      </c>
    </row>
    <row r="1724" customFormat="false" ht="15" hidden="false" customHeight="false" outlineLevel="0" collapsed="false">
      <c r="A1724" s="11"/>
      <c r="B1724" s="6"/>
      <c r="C1724" s="11"/>
      <c r="D1724" s="11"/>
      <c r="E1724" s="8" t="str">
        <f aca="false">IF($A1724="","",SUMIFS($C:$C,$A:$A,$H1724,$B:$B,"&gt;="&amp;INT($B1724),$B:$B,"&lt;"&amp;(INT($B1724)+1)))</f>
        <v/>
      </c>
      <c r="F1724" s="19" t="str">
        <f aca="false">IF($A1724="","",IF(ISNA(MATCH($H1724,Buffers!$AE:$AE,0)),"Not on Buffers",IF(NOT(ISNUMBER($B1724)),"Needs a date",IF(INT($B1724)&lt;PlanDate,"Past due",IF(INT($B1724)=PlanDate,"Due today",IF(AND(INDEX(Buffers!$L:$L,MATCH($H1724,Buffers!$AE:$AE,0))="Planned",$E1724&gt;0,INT($B1724)&lt;=PlanDate+ROUNDUP(IF(ISNUMBER(SpikeHorizon),SpikeHorizon,INDEX(Buffers!$D:$D,MATCH($H1724,Buffers!$AE:$AE,0))),0),$E1724&gt;=SpikePct*INDEX(Buffers!$P:$P,MATCH($H1724,Buffers!$AE:$AE,0))),"Spike","Not qualified"))))))</f>
        <v/>
      </c>
      <c r="G1724" s="8" t="str">
        <f aca="false">IF($A1724="","",IF(OR($F1724="Past due",$F1724="Due today",$F1724="Spike"),$C1724,0))</f>
        <v/>
      </c>
      <c r="H1724" s="8" t="str">
        <f aca="false">IF($A1724="","",SUBSTITUTE(SUBSTITUTE(SUBSTITUTE($A1724&amp;"","~","~~"),"*","~*"),"?","~?"))</f>
        <v/>
      </c>
    </row>
    <row r="1725" customFormat="false" ht="15" hidden="false" customHeight="false" outlineLevel="0" collapsed="false">
      <c r="A1725" s="11"/>
      <c r="B1725" s="6"/>
      <c r="C1725" s="11"/>
      <c r="D1725" s="11"/>
      <c r="E1725" s="8" t="str">
        <f aca="false">IF($A1725="","",SUMIFS($C:$C,$A:$A,$H1725,$B:$B,"&gt;="&amp;INT($B1725),$B:$B,"&lt;"&amp;(INT($B1725)+1)))</f>
        <v/>
      </c>
      <c r="F1725" s="19" t="str">
        <f aca="false">IF($A1725="","",IF(ISNA(MATCH($H1725,Buffers!$AE:$AE,0)),"Not on Buffers",IF(NOT(ISNUMBER($B1725)),"Needs a date",IF(INT($B1725)&lt;PlanDate,"Past due",IF(INT($B1725)=PlanDate,"Due today",IF(AND(INDEX(Buffers!$L:$L,MATCH($H1725,Buffers!$AE:$AE,0))="Planned",$E1725&gt;0,INT($B1725)&lt;=PlanDate+ROUNDUP(IF(ISNUMBER(SpikeHorizon),SpikeHorizon,INDEX(Buffers!$D:$D,MATCH($H1725,Buffers!$AE:$AE,0))),0),$E1725&gt;=SpikePct*INDEX(Buffers!$P:$P,MATCH($H1725,Buffers!$AE:$AE,0))),"Spike","Not qualified"))))))</f>
        <v/>
      </c>
      <c r="G1725" s="8" t="str">
        <f aca="false">IF($A1725="","",IF(OR($F1725="Past due",$F1725="Due today",$F1725="Spike"),$C1725,0))</f>
        <v/>
      </c>
      <c r="H1725" s="8" t="str">
        <f aca="false">IF($A1725="","",SUBSTITUTE(SUBSTITUTE(SUBSTITUTE($A1725&amp;"","~","~~"),"*","~*"),"?","~?"))</f>
        <v/>
      </c>
    </row>
    <row r="1726" customFormat="false" ht="15" hidden="false" customHeight="false" outlineLevel="0" collapsed="false">
      <c r="A1726" s="11"/>
      <c r="B1726" s="6"/>
      <c r="C1726" s="11"/>
      <c r="D1726" s="11"/>
      <c r="E1726" s="8" t="str">
        <f aca="false">IF($A1726="","",SUMIFS($C:$C,$A:$A,$H1726,$B:$B,"&gt;="&amp;INT($B1726),$B:$B,"&lt;"&amp;(INT($B1726)+1)))</f>
        <v/>
      </c>
      <c r="F1726" s="19" t="str">
        <f aca="false">IF($A1726="","",IF(ISNA(MATCH($H1726,Buffers!$AE:$AE,0)),"Not on Buffers",IF(NOT(ISNUMBER($B1726)),"Needs a date",IF(INT($B1726)&lt;PlanDate,"Past due",IF(INT($B1726)=PlanDate,"Due today",IF(AND(INDEX(Buffers!$L:$L,MATCH($H1726,Buffers!$AE:$AE,0))="Planned",$E1726&gt;0,INT($B1726)&lt;=PlanDate+ROUNDUP(IF(ISNUMBER(SpikeHorizon),SpikeHorizon,INDEX(Buffers!$D:$D,MATCH($H1726,Buffers!$AE:$AE,0))),0),$E1726&gt;=SpikePct*INDEX(Buffers!$P:$P,MATCH($H1726,Buffers!$AE:$AE,0))),"Spike","Not qualified"))))))</f>
        <v/>
      </c>
      <c r="G1726" s="8" t="str">
        <f aca="false">IF($A1726="","",IF(OR($F1726="Past due",$F1726="Due today",$F1726="Spike"),$C1726,0))</f>
        <v/>
      </c>
      <c r="H1726" s="8" t="str">
        <f aca="false">IF($A1726="","",SUBSTITUTE(SUBSTITUTE(SUBSTITUTE($A1726&amp;"","~","~~"),"*","~*"),"?","~?"))</f>
        <v/>
      </c>
    </row>
    <row r="1727" customFormat="false" ht="15" hidden="false" customHeight="false" outlineLevel="0" collapsed="false">
      <c r="A1727" s="11"/>
      <c r="B1727" s="6"/>
      <c r="C1727" s="11"/>
      <c r="D1727" s="11"/>
      <c r="E1727" s="8" t="str">
        <f aca="false">IF($A1727="","",SUMIFS($C:$C,$A:$A,$H1727,$B:$B,"&gt;="&amp;INT($B1727),$B:$B,"&lt;"&amp;(INT($B1727)+1)))</f>
        <v/>
      </c>
      <c r="F1727" s="19" t="str">
        <f aca="false">IF($A1727="","",IF(ISNA(MATCH($H1727,Buffers!$AE:$AE,0)),"Not on Buffers",IF(NOT(ISNUMBER($B1727)),"Needs a date",IF(INT($B1727)&lt;PlanDate,"Past due",IF(INT($B1727)=PlanDate,"Due today",IF(AND(INDEX(Buffers!$L:$L,MATCH($H1727,Buffers!$AE:$AE,0))="Planned",$E1727&gt;0,INT($B1727)&lt;=PlanDate+ROUNDUP(IF(ISNUMBER(SpikeHorizon),SpikeHorizon,INDEX(Buffers!$D:$D,MATCH($H1727,Buffers!$AE:$AE,0))),0),$E1727&gt;=SpikePct*INDEX(Buffers!$P:$P,MATCH($H1727,Buffers!$AE:$AE,0))),"Spike","Not qualified"))))))</f>
        <v/>
      </c>
      <c r="G1727" s="8" t="str">
        <f aca="false">IF($A1727="","",IF(OR($F1727="Past due",$F1727="Due today",$F1727="Spike"),$C1727,0))</f>
        <v/>
      </c>
      <c r="H1727" s="8" t="str">
        <f aca="false">IF($A1727="","",SUBSTITUTE(SUBSTITUTE(SUBSTITUTE($A1727&amp;"","~","~~"),"*","~*"),"?","~?"))</f>
        <v/>
      </c>
    </row>
    <row r="1728" customFormat="false" ht="15" hidden="false" customHeight="false" outlineLevel="0" collapsed="false">
      <c r="A1728" s="11"/>
      <c r="B1728" s="6"/>
      <c r="C1728" s="11"/>
      <c r="D1728" s="11"/>
      <c r="E1728" s="8" t="str">
        <f aca="false">IF($A1728="","",SUMIFS($C:$C,$A:$A,$H1728,$B:$B,"&gt;="&amp;INT($B1728),$B:$B,"&lt;"&amp;(INT($B1728)+1)))</f>
        <v/>
      </c>
      <c r="F1728" s="19" t="str">
        <f aca="false">IF($A1728="","",IF(ISNA(MATCH($H1728,Buffers!$AE:$AE,0)),"Not on Buffers",IF(NOT(ISNUMBER($B1728)),"Needs a date",IF(INT($B1728)&lt;PlanDate,"Past due",IF(INT($B1728)=PlanDate,"Due today",IF(AND(INDEX(Buffers!$L:$L,MATCH($H1728,Buffers!$AE:$AE,0))="Planned",$E1728&gt;0,INT($B1728)&lt;=PlanDate+ROUNDUP(IF(ISNUMBER(SpikeHorizon),SpikeHorizon,INDEX(Buffers!$D:$D,MATCH($H1728,Buffers!$AE:$AE,0))),0),$E1728&gt;=SpikePct*INDEX(Buffers!$P:$P,MATCH($H1728,Buffers!$AE:$AE,0))),"Spike","Not qualified"))))))</f>
        <v/>
      </c>
      <c r="G1728" s="8" t="str">
        <f aca="false">IF($A1728="","",IF(OR($F1728="Past due",$F1728="Due today",$F1728="Spike"),$C1728,0))</f>
        <v/>
      </c>
      <c r="H1728" s="8" t="str">
        <f aca="false">IF($A1728="","",SUBSTITUTE(SUBSTITUTE(SUBSTITUTE($A1728&amp;"","~","~~"),"*","~*"),"?","~?"))</f>
        <v/>
      </c>
    </row>
    <row r="1729" customFormat="false" ht="15" hidden="false" customHeight="false" outlineLevel="0" collapsed="false">
      <c r="A1729" s="11"/>
      <c r="B1729" s="6"/>
      <c r="C1729" s="11"/>
      <c r="D1729" s="11"/>
      <c r="E1729" s="8" t="str">
        <f aca="false">IF($A1729="","",SUMIFS($C:$C,$A:$A,$H1729,$B:$B,"&gt;="&amp;INT($B1729),$B:$B,"&lt;"&amp;(INT($B1729)+1)))</f>
        <v/>
      </c>
      <c r="F1729" s="19" t="str">
        <f aca="false">IF($A1729="","",IF(ISNA(MATCH($H1729,Buffers!$AE:$AE,0)),"Not on Buffers",IF(NOT(ISNUMBER($B1729)),"Needs a date",IF(INT($B1729)&lt;PlanDate,"Past due",IF(INT($B1729)=PlanDate,"Due today",IF(AND(INDEX(Buffers!$L:$L,MATCH($H1729,Buffers!$AE:$AE,0))="Planned",$E1729&gt;0,INT($B1729)&lt;=PlanDate+ROUNDUP(IF(ISNUMBER(SpikeHorizon),SpikeHorizon,INDEX(Buffers!$D:$D,MATCH($H1729,Buffers!$AE:$AE,0))),0),$E1729&gt;=SpikePct*INDEX(Buffers!$P:$P,MATCH($H1729,Buffers!$AE:$AE,0))),"Spike","Not qualified"))))))</f>
        <v/>
      </c>
      <c r="G1729" s="8" t="str">
        <f aca="false">IF($A1729="","",IF(OR($F1729="Past due",$F1729="Due today",$F1729="Spike"),$C1729,0))</f>
        <v/>
      </c>
      <c r="H1729" s="8" t="str">
        <f aca="false">IF($A1729="","",SUBSTITUTE(SUBSTITUTE(SUBSTITUTE($A1729&amp;"","~","~~"),"*","~*"),"?","~?"))</f>
        <v/>
      </c>
    </row>
    <row r="1730" customFormat="false" ht="15" hidden="false" customHeight="false" outlineLevel="0" collapsed="false">
      <c r="A1730" s="11"/>
      <c r="B1730" s="6"/>
      <c r="C1730" s="11"/>
      <c r="D1730" s="11"/>
      <c r="E1730" s="8" t="str">
        <f aca="false">IF($A1730="","",SUMIFS($C:$C,$A:$A,$H1730,$B:$B,"&gt;="&amp;INT($B1730),$B:$B,"&lt;"&amp;(INT($B1730)+1)))</f>
        <v/>
      </c>
      <c r="F1730" s="19" t="str">
        <f aca="false">IF($A1730="","",IF(ISNA(MATCH($H1730,Buffers!$AE:$AE,0)),"Not on Buffers",IF(NOT(ISNUMBER($B1730)),"Needs a date",IF(INT($B1730)&lt;PlanDate,"Past due",IF(INT($B1730)=PlanDate,"Due today",IF(AND(INDEX(Buffers!$L:$L,MATCH($H1730,Buffers!$AE:$AE,0))="Planned",$E1730&gt;0,INT($B1730)&lt;=PlanDate+ROUNDUP(IF(ISNUMBER(SpikeHorizon),SpikeHorizon,INDEX(Buffers!$D:$D,MATCH($H1730,Buffers!$AE:$AE,0))),0),$E1730&gt;=SpikePct*INDEX(Buffers!$P:$P,MATCH($H1730,Buffers!$AE:$AE,0))),"Spike","Not qualified"))))))</f>
        <v/>
      </c>
      <c r="G1730" s="8" t="str">
        <f aca="false">IF($A1730="","",IF(OR($F1730="Past due",$F1730="Due today",$F1730="Spike"),$C1730,0))</f>
        <v/>
      </c>
      <c r="H1730" s="8" t="str">
        <f aca="false">IF($A1730="","",SUBSTITUTE(SUBSTITUTE(SUBSTITUTE($A1730&amp;"","~","~~"),"*","~*"),"?","~?"))</f>
        <v/>
      </c>
    </row>
    <row r="1731" customFormat="false" ht="15" hidden="false" customHeight="false" outlineLevel="0" collapsed="false">
      <c r="A1731" s="11"/>
      <c r="B1731" s="6"/>
      <c r="C1731" s="11"/>
      <c r="D1731" s="11"/>
      <c r="E1731" s="8" t="str">
        <f aca="false">IF($A1731="","",SUMIFS($C:$C,$A:$A,$H1731,$B:$B,"&gt;="&amp;INT($B1731),$B:$B,"&lt;"&amp;(INT($B1731)+1)))</f>
        <v/>
      </c>
      <c r="F1731" s="19" t="str">
        <f aca="false">IF($A1731="","",IF(ISNA(MATCH($H1731,Buffers!$AE:$AE,0)),"Not on Buffers",IF(NOT(ISNUMBER($B1731)),"Needs a date",IF(INT($B1731)&lt;PlanDate,"Past due",IF(INT($B1731)=PlanDate,"Due today",IF(AND(INDEX(Buffers!$L:$L,MATCH($H1731,Buffers!$AE:$AE,0))="Planned",$E1731&gt;0,INT($B1731)&lt;=PlanDate+ROUNDUP(IF(ISNUMBER(SpikeHorizon),SpikeHorizon,INDEX(Buffers!$D:$D,MATCH($H1731,Buffers!$AE:$AE,0))),0),$E1731&gt;=SpikePct*INDEX(Buffers!$P:$P,MATCH($H1731,Buffers!$AE:$AE,0))),"Spike","Not qualified"))))))</f>
        <v/>
      </c>
      <c r="G1731" s="8" t="str">
        <f aca="false">IF($A1731="","",IF(OR($F1731="Past due",$F1731="Due today",$F1731="Spike"),$C1731,0))</f>
        <v/>
      </c>
      <c r="H1731" s="8" t="str">
        <f aca="false">IF($A1731="","",SUBSTITUTE(SUBSTITUTE(SUBSTITUTE($A1731&amp;"","~","~~"),"*","~*"),"?","~?"))</f>
        <v/>
      </c>
    </row>
    <row r="1732" customFormat="false" ht="15" hidden="false" customHeight="false" outlineLevel="0" collapsed="false">
      <c r="A1732" s="11"/>
      <c r="B1732" s="6"/>
      <c r="C1732" s="11"/>
      <c r="D1732" s="11"/>
      <c r="E1732" s="8" t="str">
        <f aca="false">IF($A1732="","",SUMIFS($C:$C,$A:$A,$H1732,$B:$B,"&gt;="&amp;INT($B1732),$B:$B,"&lt;"&amp;(INT($B1732)+1)))</f>
        <v/>
      </c>
      <c r="F1732" s="19" t="str">
        <f aca="false">IF($A1732="","",IF(ISNA(MATCH($H1732,Buffers!$AE:$AE,0)),"Not on Buffers",IF(NOT(ISNUMBER($B1732)),"Needs a date",IF(INT($B1732)&lt;PlanDate,"Past due",IF(INT($B1732)=PlanDate,"Due today",IF(AND(INDEX(Buffers!$L:$L,MATCH($H1732,Buffers!$AE:$AE,0))="Planned",$E1732&gt;0,INT($B1732)&lt;=PlanDate+ROUNDUP(IF(ISNUMBER(SpikeHorizon),SpikeHorizon,INDEX(Buffers!$D:$D,MATCH($H1732,Buffers!$AE:$AE,0))),0),$E1732&gt;=SpikePct*INDEX(Buffers!$P:$P,MATCH($H1732,Buffers!$AE:$AE,0))),"Spike","Not qualified"))))))</f>
        <v/>
      </c>
      <c r="G1732" s="8" t="str">
        <f aca="false">IF($A1732="","",IF(OR($F1732="Past due",$F1732="Due today",$F1732="Spike"),$C1732,0))</f>
        <v/>
      </c>
      <c r="H1732" s="8" t="str">
        <f aca="false">IF($A1732="","",SUBSTITUTE(SUBSTITUTE(SUBSTITUTE($A1732&amp;"","~","~~"),"*","~*"),"?","~?"))</f>
        <v/>
      </c>
    </row>
    <row r="1733" customFormat="false" ht="15" hidden="false" customHeight="false" outlineLevel="0" collapsed="false">
      <c r="A1733" s="11"/>
      <c r="B1733" s="6"/>
      <c r="C1733" s="11"/>
      <c r="D1733" s="11"/>
      <c r="E1733" s="8" t="str">
        <f aca="false">IF($A1733="","",SUMIFS($C:$C,$A:$A,$H1733,$B:$B,"&gt;="&amp;INT($B1733),$B:$B,"&lt;"&amp;(INT($B1733)+1)))</f>
        <v/>
      </c>
      <c r="F1733" s="19" t="str">
        <f aca="false">IF($A1733="","",IF(ISNA(MATCH($H1733,Buffers!$AE:$AE,0)),"Not on Buffers",IF(NOT(ISNUMBER($B1733)),"Needs a date",IF(INT($B1733)&lt;PlanDate,"Past due",IF(INT($B1733)=PlanDate,"Due today",IF(AND(INDEX(Buffers!$L:$L,MATCH($H1733,Buffers!$AE:$AE,0))="Planned",$E1733&gt;0,INT($B1733)&lt;=PlanDate+ROUNDUP(IF(ISNUMBER(SpikeHorizon),SpikeHorizon,INDEX(Buffers!$D:$D,MATCH($H1733,Buffers!$AE:$AE,0))),0),$E1733&gt;=SpikePct*INDEX(Buffers!$P:$P,MATCH($H1733,Buffers!$AE:$AE,0))),"Spike","Not qualified"))))))</f>
        <v/>
      </c>
      <c r="G1733" s="8" t="str">
        <f aca="false">IF($A1733="","",IF(OR($F1733="Past due",$F1733="Due today",$F1733="Spike"),$C1733,0))</f>
        <v/>
      </c>
      <c r="H1733" s="8" t="str">
        <f aca="false">IF($A1733="","",SUBSTITUTE(SUBSTITUTE(SUBSTITUTE($A1733&amp;"","~","~~"),"*","~*"),"?","~?"))</f>
        <v/>
      </c>
    </row>
    <row r="1734" customFormat="false" ht="15" hidden="false" customHeight="false" outlineLevel="0" collapsed="false">
      <c r="A1734" s="11"/>
      <c r="B1734" s="6"/>
      <c r="C1734" s="11"/>
      <c r="D1734" s="11"/>
      <c r="E1734" s="8" t="str">
        <f aca="false">IF($A1734="","",SUMIFS($C:$C,$A:$A,$H1734,$B:$B,"&gt;="&amp;INT($B1734),$B:$B,"&lt;"&amp;(INT($B1734)+1)))</f>
        <v/>
      </c>
      <c r="F1734" s="19" t="str">
        <f aca="false">IF($A1734="","",IF(ISNA(MATCH($H1734,Buffers!$AE:$AE,0)),"Not on Buffers",IF(NOT(ISNUMBER($B1734)),"Needs a date",IF(INT($B1734)&lt;PlanDate,"Past due",IF(INT($B1734)=PlanDate,"Due today",IF(AND(INDEX(Buffers!$L:$L,MATCH($H1734,Buffers!$AE:$AE,0))="Planned",$E1734&gt;0,INT($B1734)&lt;=PlanDate+ROUNDUP(IF(ISNUMBER(SpikeHorizon),SpikeHorizon,INDEX(Buffers!$D:$D,MATCH($H1734,Buffers!$AE:$AE,0))),0),$E1734&gt;=SpikePct*INDEX(Buffers!$P:$P,MATCH($H1734,Buffers!$AE:$AE,0))),"Spike","Not qualified"))))))</f>
        <v/>
      </c>
      <c r="G1734" s="8" t="str">
        <f aca="false">IF($A1734="","",IF(OR($F1734="Past due",$F1734="Due today",$F1734="Spike"),$C1734,0))</f>
        <v/>
      </c>
      <c r="H1734" s="8" t="str">
        <f aca="false">IF($A1734="","",SUBSTITUTE(SUBSTITUTE(SUBSTITUTE($A1734&amp;"","~","~~"),"*","~*"),"?","~?"))</f>
        <v/>
      </c>
    </row>
    <row r="1735" customFormat="false" ht="15" hidden="false" customHeight="false" outlineLevel="0" collapsed="false">
      <c r="A1735" s="11"/>
      <c r="B1735" s="6"/>
      <c r="C1735" s="11"/>
      <c r="D1735" s="11"/>
      <c r="E1735" s="8" t="str">
        <f aca="false">IF($A1735="","",SUMIFS($C:$C,$A:$A,$H1735,$B:$B,"&gt;="&amp;INT($B1735),$B:$B,"&lt;"&amp;(INT($B1735)+1)))</f>
        <v/>
      </c>
      <c r="F1735" s="19" t="str">
        <f aca="false">IF($A1735="","",IF(ISNA(MATCH($H1735,Buffers!$AE:$AE,0)),"Not on Buffers",IF(NOT(ISNUMBER($B1735)),"Needs a date",IF(INT($B1735)&lt;PlanDate,"Past due",IF(INT($B1735)=PlanDate,"Due today",IF(AND(INDEX(Buffers!$L:$L,MATCH($H1735,Buffers!$AE:$AE,0))="Planned",$E1735&gt;0,INT($B1735)&lt;=PlanDate+ROUNDUP(IF(ISNUMBER(SpikeHorizon),SpikeHorizon,INDEX(Buffers!$D:$D,MATCH($H1735,Buffers!$AE:$AE,0))),0),$E1735&gt;=SpikePct*INDEX(Buffers!$P:$P,MATCH($H1735,Buffers!$AE:$AE,0))),"Spike","Not qualified"))))))</f>
        <v/>
      </c>
      <c r="G1735" s="8" t="str">
        <f aca="false">IF($A1735="","",IF(OR($F1735="Past due",$F1735="Due today",$F1735="Spike"),$C1735,0))</f>
        <v/>
      </c>
      <c r="H1735" s="8" t="str">
        <f aca="false">IF($A1735="","",SUBSTITUTE(SUBSTITUTE(SUBSTITUTE($A1735&amp;"","~","~~"),"*","~*"),"?","~?"))</f>
        <v/>
      </c>
    </row>
    <row r="1736" customFormat="false" ht="15" hidden="false" customHeight="false" outlineLevel="0" collapsed="false">
      <c r="A1736" s="11"/>
      <c r="B1736" s="6"/>
      <c r="C1736" s="11"/>
      <c r="D1736" s="11"/>
      <c r="E1736" s="8" t="str">
        <f aca="false">IF($A1736="","",SUMIFS($C:$C,$A:$A,$H1736,$B:$B,"&gt;="&amp;INT($B1736),$B:$B,"&lt;"&amp;(INT($B1736)+1)))</f>
        <v/>
      </c>
      <c r="F1736" s="19" t="str">
        <f aca="false">IF($A1736="","",IF(ISNA(MATCH($H1736,Buffers!$AE:$AE,0)),"Not on Buffers",IF(NOT(ISNUMBER($B1736)),"Needs a date",IF(INT($B1736)&lt;PlanDate,"Past due",IF(INT($B1736)=PlanDate,"Due today",IF(AND(INDEX(Buffers!$L:$L,MATCH($H1736,Buffers!$AE:$AE,0))="Planned",$E1736&gt;0,INT($B1736)&lt;=PlanDate+ROUNDUP(IF(ISNUMBER(SpikeHorizon),SpikeHorizon,INDEX(Buffers!$D:$D,MATCH($H1736,Buffers!$AE:$AE,0))),0),$E1736&gt;=SpikePct*INDEX(Buffers!$P:$P,MATCH($H1736,Buffers!$AE:$AE,0))),"Spike","Not qualified"))))))</f>
        <v/>
      </c>
      <c r="G1736" s="8" t="str">
        <f aca="false">IF($A1736="","",IF(OR($F1736="Past due",$F1736="Due today",$F1736="Spike"),$C1736,0))</f>
        <v/>
      </c>
      <c r="H1736" s="8" t="str">
        <f aca="false">IF($A1736="","",SUBSTITUTE(SUBSTITUTE(SUBSTITUTE($A1736&amp;"","~","~~"),"*","~*"),"?","~?"))</f>
        <v/>
      </c>
    </row>
    <row r="1737" customFormat="false" ht="15" hidden="false" customHeight="false" outlineLevel="0" collapsed="false">
      <c r="A1737" s="11"/>
      <c r="B1737" s="6"/>
      <c r="C1737" s="11"/>
      <c r="D1737" s="11"/>
      <c r="E1737" s="8" t="str">
        <f aca="false">IF($A1737="","",SUMIFS($C:$C,$A:$A,$H1737,$B:$B,"&gt;="&amp;INT($B1737),$B:$B,"&lt;"&amp;(INT($B1737)+1)))</f>
        <v/>
      </c>
      <c r="F1737" s="19" t="str">
        <f aca="false">IF($A1737="","",IF(ISNA(MATCH($H1737,Buffers!$AE:$AE,0)),"Not on Buffers",IF(NOT(ISNUMBER($B1737)),"Needs a date",IF(INT($B1737)&lt;PlanDate,"Past due",IF(INT($B1737)=PlanDate,"Due today",IF(AND(INDEX(Buffers!$L:$L,MATCH($H1737,Buffers!$AE:$AE,0))="Planned",$E1737&gt;0,INT($B1737)&lt;=PlanDate+ROUNDUP(IF(ISNUMBER(SpikeHorizon),SpikeHorizon,INDEX(Buffers!$D:$D,MATCH($H1737,Buffers!$AE:$AE,0))),0),$E1737&gt;=SpikePct*INDEX(Buffers!$P:$P,MATCH($H1737,Buffers!$AE:$AE,0))),"Spike","Not qualified"))))))</f>
        <v/>
      </c>
      <c r="G1737" s="8" t="str">
        <f aca="false">IF($A1737="","",IF(OR($F1737="Past due",$F1737="Due today",$F1737="Spike"),$C1737,0))</f>
        <v/>
      </c>
      <c r="H1737" s="8" t="str">
        <f aca="false">IF($A1737="","",SUBSTITUTE(SUBSTITUTE(SUBSTITUTE($A1737&amp;"","~","~~"),"*","~*"),"?","~?"))</f>
        <v/>
      </c>
    </row>
    <row r="1738" customFormat="false" ht="15" hidden="false" customHeight="false" outlineLevel="0" collapsed="false">
      <c r="A1738" s="11"/>
      <c r="B1738" s="6"/>
      <c r="C1738" s="11"/>
      <c r="D1738" s="11"/>
      <c r="E1738" s="8" t="str">
        <f aca="false">IF($A1738="","",SUMIFS($C:$C,$A:$A,$H1738,$B:$B,"&gt;="&amp;INT($B1738),$B:$B,"&lt;"&amp;(INT($B1738)+1)))</f>
        <v/>
      </c>
      <c r="F1738" s="19" t="str">
        <f aca="false">IF($A1738="","",IF(ISNA(MATCH($H1738,Buffers!$AE:$AE,0)),"Not on Buffers",IF(NOT(ISNUMBER($B1738)),"Needs a date",IF(INT($B1738)&lt;PlanDate,"Past due",IF(INT($B1738)=PlanDate,"Due today",IF(AND(INDEX(Buffers!$L:$L,MATCH($H1738,Buffers!$AE:$AE,0))="Planned",$E1738&gt;0,INT($B1738)&lt;=PlanDate+ROUNDUP(IF(ISNUMBER(SpikeHorizon),SpikeHorizon,INDEX(Buffers!$D:$D,MATCH($H1738,Buffers!$AE:$AE,0))),0),$E1738&gt;=SpikePct*INDEX(Buffers!$P:$P,MATCH($H1738,Buffers!$AE:$AE,0))),"Spike","Not qualified"))))))</f>
        <v/>
      </c>
      <c r="G1738" s="8" t="str">
        <f aca="false">IF($A1738="","",IF(OR($F1738="Past due",$F1738="Due today",$F1738="Spike"),$C1738,0))</f>
        <v/>
      </c>
      <c r="H1738" s="8" t="str">
        <f aca="false">IF($A1738="","",SUBSTITUTE(SUBSTITUTE(SUBSTITUTE($A1738&amp;"","~","~~"),"*","~*"),"?","~?"))</f>
        <v/>
      </c>
    </row>
    <row r="1739" customFormat="false" ht="15" hidden="false" customHeight="false" outlineLevel="0" collapsed="false">
      <c r="A1739" s="11"/>
      <c r="B1739" s="6"/>
      <c r="C1739" s="11"/>
      <c r="D1739" s="11"/>
      <c r="E1739" s="8" t="str">
        <f aca="false">IF($A1739="","",SUMIFS($C:$C,$A:$A,$H1739,$B:$B,"&gt;="&amp;INT($B1739),$B:$B,"&lt;"&amp;(INT($B1739)+1)))</f>
        <v/>
      </c>
      <c r="F1739" s="19" t="str">
        <f aca="false">IF($A1739="","",IF(ISNA(MATCH($H1739,Buffers!$AE:$AE,0)),"Not on Buffers",IF(NOT(ISNUMBER($B1739)),"Needs a date",IF(INT($B1739)&lt;PlanDate,"Past due",IF(INT($B1739)=PlanDate,"Due today",IF(AND(INDEX(Buffers!$L:$L,MATCH($H1739,Buffers!$AE:$AE,0))="Planned",$E1739&gt;0,INT($B1739)&lt;=PlanDate+ROUNDUP(IF(ISNUMBER(SpikeHorizon),SpikeHorizon,INDEX(Buffers!$D:$D,MATCH($H1739,Buffers!$AE:$AE,0))),0),$E1739&gt;=SpikePct*INDEX(Buffers!$P:$P,MATCH($H1739,Buffers!$AE:$AE,0))),"Spike","Not qualified"))))))</f>
        <v/>
      </c>
      <c r="G1739" s="8" t="str">
        <f aca="false">IF($A1739="","",IF(OR($F1739="Past due",$F1739="Due today",$F1739="Spike"),$C1739,0))</f>
        <v/>
      </c>
      <c r="H1739" s="8" t="str">
        <f aca="false">IF($A1739="","",SUBSTITUTE(SUBSTITUTE(SUBSTITUTE($A1739&amp;"","~","~~"),"*","~*"),"?","~?"))</f>
        <v/>
      </c>
    </row>
    <row r="1740" customFormat="false" ht="15" hidden="false" customHeight="false" outlineLevel="0" collapsed="false">
      <c r="A1740" s="11"/>
      <c r="B1740" s="6"/>
      <c r="C1740" s="11"/>
      <c r="D1740" s="11"/>
      <c r="E1740" s="8" t="str">
        <f aca="false">IF($A1740="","",SUMIFS($C:$C,$A:$A,$H1740,$B:$B,"&gt;="&amp;INT($B1740),$B:$B,"&lt;"&amp;(INT($B1740)+1)))</f>
        <v/>
      </c>
      <c r="F1740" s="19" t="str">
        <f aca="false">IF($A1740="","",IF(ISNA(MATCH($H1740,Buffers!$AE:$AE,0)),"Not on Buffers",IF(NOT(ISNUMBER($B1740)),"Needs a date",IF(INT($B1740)&lt;PlanDate,"Past due",IF(INT($B1740)=PlanDate,"Due today",IF(AND(INDEX(Buffers!$L:$L,MATCH($H1740,Buffers!$AE:$AE,0))="Planned",$E1740&gt;0,INT($B1740)&lt;=PlanDate+ROUNDUP(IF(ISNUMBER(SpikeHorizon),SpikeHorizon,INDEX(Buffers!$D:$D,MATCH($H1740,Buffers!$AE:$AE,0))),0),$E1740&gt;=SpikePct*INDEX(Buffers!$P:$P,MATCH($H1740,Buffers!$AE:$AE,0))),"Spike","Not qualified"))))))</f>
        <v/>
      </c>
      <c r="G1740" s="8" t="str">
        <f aca="false">IF($A1740="","",IF(OR($F1740="Past due",$F1740="Due today",$F1740="Spike"),$C1740,0))</f>
        <v/>
      </c>
      <c r="H1740" s="8" t="str">
        <f aca="false">IF($A1740="","",SUBSTITUTE(SUBSTITUTE(SUBSTITUTE($A1740&amp;"","~","~~"),"*","~*"),"?","~?"))</f>
        <v/>
      </c>
    </row>
    <row r="1741" customFormat="false" ht="15" hidden="false" customHeight="false" outlineLevel="0" collapsed="false">
      <c r="A1741" s="11"/>
      <c r="B1741" s="6"/>
      <c r="C1741" s="11"/>
      <c r="D1741" s="11"/>
      <c r="E1741" s="8" t="str">
        <f aca="false">IF($A1741="","",SUMIFS($C:$C,$A:$A,$H1741,$B:$B,"&gt;="&amp;INT($B1741),$B:$B,"&lt;"&amp;(INT($B1741)+1)))</f>
        <v/>
      </c>
      <c r="F1741" s="19" t="str">
        <f aca="false">IF($A1741="","",IF(ISNA(MATCH($H1741,Buffers!$AE:$AE,0)),"Not on Buffers",IF(NOT(ISNUMBER($B1741)),"Needs a date",IF(INT($B1741)&lt;PlanDate,"Past due",IF(INT($B1741)=PlanDate,"Due today",IF(AND(INDEX(Buffers!$L:$L,MATCH($H1741,Buffers!$AE:$AE,0))="Planned",$E1741&gt;0,INT($B1741)&lt;=PlanDate+ROUNDUP(IF(ISNUMBER(SpikeHorizon),SpikeHorizon,INDEX(Buffers!$D:$D,MATCH($H1741,Buffers!$AE:$AE,0))),0),$E1741&gt;=SpikePct*INDEX(Buffers!$P:$P,MATCH($H1741,Buffers!$AE:$AE,0))),"Spike","Not qualified"))))))</f>
        <v/>
      </c>
      <c r="G1741" s="8" t="str">
        <f aca="false">IF($A1741="","",IF(OR($F1741="Past due",$F1741="Due today",$F1741="Spike"),$C1741,0))</f>
        <v/>
      </c>
      <c r="H1741" s="8" t="str">
        <f aca="false">IF($A1741="","",SUBSTITUTE(SUBSTITUTE(SUBSTITUTE($A1741&amp;"","~","~~"),"*","~*"),"?","~?"))</f>
        <v/>
      </c>
    </row>
    <row r="1742" customFormat="false" ht="15" hidden="false" customHeight="false" outlineLevel="0" collapsed="false">
      <c r="A1742" s="11"/>
      <c r="B1742" s="6"/>
      <c r="C1742" s="11"/>
      <c r="D1742" s="11"/>
      <c r="E1742" s="8" t="str">
        <f aca="false">IF($A1742="","",SUMIFS($C:$C,$A:$A,$H1742,$B:$B,"&gt;="&amp;INT($B1742),$B:$B,"&lt;"&amp;(INT($B1742)+1)))</f>
        <v/>
      </c>
      <c r="F1742" s="19" t="str">
        <f aca="false">IF($A1742="","",IF(ISNA(MATCH($H1742,Buffers!$AE:$AE,0)),"Not on Buffers",IF(NOT(ISNUMBER($B1742)),"Needs a date",IF(INT($B1742)&lt;PlanDate,"Past due",IF(INT($B1742)=PlanDate,"Due today",IF(AND(INDEX(Buffers!$L:$L,MATCH($H1742,Buffers!$AE:$AE,0))="Planned",$E1742&gt;0,INT($B1742)&lt;=PlanDate+ROUNDUP(IF(ISNUMBER(SpikeHorizon),SpikeHorizon,INDEX(Buffers!$D:$D,MATCH($H1742,Buffers!$AE:$AE,0))),0),$E1742&gt;=SpikePct*INDEX(Buffers!$P:$P,MATCH($H1742,Buffers!$AE:$AE,0))),"Spike","Not qualified"))))))</f>
        <v/>
      </c>
      <c r="G1742" s="8" t="str">
        <f aca="false">IF($A1742="","",IF(OR($F1742="Past due",$F1742="Due today",$F1742="Spike"),$C1742,0))</f>
        <v/>
      </c>
      <c r="H1742" s="8" t="str">
        <f aca="false">IF($A1742="","",SUBSTITUTE(SUBSTITUTE(SUBSTITUTE($A1742&amp;"","~","~~"),"*","~*"),"?","~?"))</f>
        <v/>
      </c>
    </row>
    <row r="1743" customFormat="false" ht="15" hidden="false" customHeight="false" outlineLevel="0" collapsed="false">
      <c r="A1743" s="11"/>
      <c r="B1743" s="6"/>
      <c r="C1743" s="11"/>
      <c r="D1743" s="11"/>
      <c r="E1743" s="8" t="str">
        <f aca="false">IF($A1743="","",SUMIFS($C:$C,$A:$A,$H1743,$B:$B,"&gt;="&amp;INT($B1743),$B:$B,"&lt;"&amp;(INT($B1743)+1)))</f>
        <v/>
      </c>
      <c r="F1743" s="19" t="str">
        <f aca="false">IF($A1743="","",IF(ISNA(MATCH($H1743,Buffers!$AE:$AE,0)),"Not on Buffers",IF(NOT(ISNUMBER($B1743)),"Needs a date",IF(INT($B1743)&lt;PlanDate,"Past due",IF(INT($B1743)=PlanDate,"Due today",IF(AND(INDEX(Buffers!$L:$L,MATCH($H1743,Buffers!$AE:$AE,0))="Planned",$E1743&gt;0,INT($B1743)&lt;=PlanDate+ROUNDUP(IF(ISNUMBER(SpikeHorizon),SpikeHorizon,INDEX(Buffers!$D:$D,MATCH($H1743,Buffers!$AE:$AE,0))),0),$E1743&gt;=SpikePct*INDEX(Buffers!$P:$P,MATCH($H1743,Buffers!$AE:$AE,0))),"Spike","Not qualified"))))))</f>
        <v/>
      </c>
      <c r="G1743" s="8" t="str">
        <f aca="false">IF($A1743="","",IF(OR($F1743="Past due",$F1743="Due today",$F1743="Spike"),$C1743,0))</f>
        <v/>
      </c>
      <c r="H1743" s="8" t="str">
        <f aca="false">IF($A1743="","",SUBSTITUTE(SUBSTITUTE(SUBSTITUTE($A1743&amp;"","~","~~"),"*","~*"),"?","~?"))</f>
        <v/>
      </c>
    </row>
    <row r="1744" customFormat="false" ht="15" hidden="false" customHeight="false" outlineLevel="0" collapsed="false">
      <c r="A1744" s="11"/>
      <c r="B1744" s="6"/>
      <c r="C1744" s="11"/>
      <c r="D1744" s="11"/>
      <c r="E1744" s="8" t="str">
        <f aca="false">IF($A1744="","",SUMIFS($C:$C,$A:$A,$H1744,$B:$B,"&gt;="&amp;INT($B1744),$B:$B,"&lt;"&amp;(INT($B1744)+1)))</f>
        <v/>
      </c>
      <c r="F1744" s="19" t="str">
        <f aca="false">IF($A1744="","",IF(ISNA(MATCH($H1744,Buffers!$AE:$AE,0)),"Not on Buffers",IF(NOT(ISNUMBER($B1744)),"Needs a date",IF(INT($B1744)&lt;PlanDate,"Past due",IF(INT($B1744)=PlanDate,"Due today",IF(AND(INDEX(Buffers!$L:$L,MATCH($H1744,Buffers!$AE:$AE,0))="Planned",$E1744&gt;0,INT($B1744)&lt;=PlanDate+ROUNDUP(IF(ISNUMBER(SpikeHorizon),SpikeHorizon,INDEX(Buffers!$D:$D,MATCH($H1744,Buffers!$AE:$AE,0))),0),$E1744&gt;=SpikePct*INDEX(Buffers!$P:$P,MATCH($H1744,Buffers!$AE:$AE,0))),"Spike","Not qualified"))))))</f>
        <v/>
      </c>
      <c r="G1744" s="8" t="str">
        <f aca="false">IF($A1744="","",IF(OR($F1744="Past due",$F1744="Due today",$F1744="Spike"),$C1744,0))</f>
        <v/>
      </c>
      <c r="H1744" s="8" t="str">
        <f aca="false">IF($A1744="","",SUBSTITUTE(SUBSTITUTE(SUBSTITUTE($A1744&amp;"","~","~~"),"*","~*"),"?","~?"))</f>
        <v/>
      </c>
    </row>
    <row r="1745" customFormat="false" ht="15" hidden="false" customHeight="false" outlineLevel="0" collapsed="false">
      <c r="A1745" s="11"/>
      <c r="B1745" s="6"/>
      <c r="C1745" s="11"/>
      <c r="D1745" s="11"/>
      <c r="E1745" s="8" t="str">
        <f aca="false">IF($A1745="","",SUMIFS($C:$C,$A:$A,$H1745,$B:$B,"&gt;="&amp;INT($B1745),$B:$B,"&lt;"&amp;(INT($B1745)+1)))</f>
        <v/>
      </c>
      <c r="F1745" s="19" t="str">
        <f aca="false">IF($A1745="","",IF(ISNA(MATCH($H1745,Buffers!$AE:$AE,0)),"Not on Buffers",IF(NOT(ISNUMBER($B1745)),"Needs a date",IF(INT($B1745)&lt;PlanDate,"Past due",IF(INT($B1745)=PlanDate,"Due today",IF(AND(INDEX(Buffers!$L:$L,MATCH($H1745,Buffers!$AE:$AE,0))="Planned",$E1745&gt;0,INT($B1745)&lt;=PlanDate+ROUNDUP(IF(ISNUMBER(SpikeHorizon),SpikeHorizon,INDEX(Buffers!$D:$D,MATCH($H1745,Buffers!$AE:$AE,0))),0),$E1745&gt;=SpikePct*INDEX(Buffers!$P:$P,MATCH($H1745,Buffers!$AE:$AE,0))),"Spike","Not qualified"))))))</f>
        <v/>
      </c>
      <c r="G1745" s="8" t="str">
        <f aca="false">IF($A1745="","",IF(OR($F1745="Past due",$F1745="Due today",$F1745="Spike"),$C1745,0))</f>
        <v/>
      </c>
      <c r="H1745" s="8" t="str">
        <f aca="false">IF($A1745="","",SUBSTITUTE(SUBSTITUTE(SUBSTITUTE($A1745&amp;"","~","~~"),"*","~*"),"?","~?"))</f>
        <v/>
      </c>
    </row>
    <row r="1746" customFormat="false" ht="15" hidden="false" customHeight="false" outlineLevel="0" collapsed="false">
      <c r="A1746" s="11"/>
      <c r="B1746" s="6"/>
      <c r="C1746" s="11"/>
      <c r="D1746" s="11"/>
      <c r="E1746" s="8" t="str">
        <f aca="false">IF($A1746="","",SUMIFS($C:$C,$A:$A,$H1746,$B:$B,"&gt;="&amp;INT($B1746),$B:$B,"&lt;"&amp;(INT($B1746)+1)))</f>
        <v/>
      </c>
      <c r="F1746" s="19" t="str">
        <f aca="false">IF($A1746="","",IF(ISNA(MATCH($H1746,Buffers!$AE:$AE,0)),"Not on Buffers",IF(NOT(ISNUMBER($B1746)),"Needs a date",IF(INT($B1746)&lt;PlanDate,"Past due",IF(INT($B1746)=PlanDate,"Due today",IF(AND(INDEX(Buffers!$L:$L,MATCH($H1746,Buffers!$AE:$AE,0))="Planned",$E1746&gt;0,INT($B1746)&lt;=PlanDate+ROUNDUP(IF(ISNUMBER(SpikeHorizon),SpikeHorizon,INDEX(Buffers!$D:$D,MATCH($H1746,Buffers!$AE:$AE,0))),0),$E1746&gt;=SpikePct*INDEX(Buffers!$P:$P,MATCH($H1746,Buffers!$AE:$AE,0))),"Spike","Not qualified"))))))</f>
        <v/>
      </c>
      <c r="G1746" s="8" t="str">
        <f aca="false">IF($A1746="","",IF(OR($F1746="Past due",$F1746="Due today",$F1746="Spike"),$C1746,0))</f>
        <v/>
      </c>
      <c r="H1746" s="8" t="str">
        <f aca="false">IF($A1746="","",SUBSTITUTE(SUBSTITUTE(SUBSTITUTE($A1746&amp;"","~","~~"),"*","~*"),"?","~?"))</f>
        <v/>
      </c>
    </row>
    <row r="1747" customFormat="false" ht="15" hidden="false" customHeight="false" outlineLevel="0" collapsed="false">
      <c r="A1747" s="11"/>
      <c r="B1747" s="6"/>
      <c r="C1747" s="11"/>
      <c r="D1747" s="11"/>
      <c r="E1747" s="8" t="str">
        <f aca="false">IF($A1747="","",SUMIFS($C:$C,$A:$A,$H1747,$B:$B,"&gt;="&amp;INT($B1747),$B:$B,"&lt;"&amp;(INT($B1747)+1)))</f>
        <v/>
      </c>
      <c r="F1747" s="19" t="str">
        <f aca="false">IF($A1747="","",IF(ISNA(MATCH($H1747,Buffers!$AE:$AE,0)),"Not on Buffers",IF(NOT(ISNUMBER($B1747)),"Needs a date",IF(INT($B1747)&lt;PlanDate,"Past due",IF(INT($B1747)=PlanDate,"Due today",IF(AND(INDEX(Buffers!$L:$L,MATCH($H1747,Buffers!$AE:$AE,0))="Planned",$E1747&gt;0,INT($B1747)&lt;=PlanDate+ROUNDUP(IF(ISNUMBER(SpikeHorizon),SpikeHorizon,INDEX(Buffers!$D:$D,MATCH($H1747,Buffers!$AE:$AE,0))),0),$E1747&gt;=SpikePct*INDEX(Buffers!$P:$P,MATCH($H1747,Buffers!$AE:$AE,0))),"Spike","Not qualified"))))))</f>
        <v/>
      </c>
      <c r="G1747" s="8" t="str">
        <f aca="false">IF($A1747="","",IF(OR($F1747="Past due",$F1747="Due today",$F1747="Spike"),$C1747,0))</f>
        <v/>
      </c>
      <c r="H1747" s="8" t="str">
        <f aca="false">IF($A1747="","",SUBSTITUTE(SUBSTITUTE(SUBSTITUTE($A1747&amp;"","~","~~"),"*","~*"),"?","~?"))</f>
        <v/>
      </c>
    </row>
    <row r="1748" customFormat="false" ht="15" hidden="false" customHeight="false" outlineLevel="0" collapsed="false">
      <c r="A1748" s="11"/>
      <c r="B1748" s="6"/>
      <c r="C1748" s="11"/>
      <c r="D1748" s="11"/>
      <c r="E1748" s="8" t="str">
        <f aca="false">IF($A1748="","",SUMIFS($C:$C,$A:$A,$H1748,$B:$B,"&gt;="&amp;INT($B1748),$B:$B,"&lt;"&amp;(INT($B1748)+1)))</f>
        <v/>
      </c>
      <c r="F1748" s="19" t="str">
        <f aca="false">IF($A1748="","",IF(ISNA(MATCH($H1748,Buffers!$AE:$AE,0)),"Not on Buffers",IF(NOT(ISNUMBER($B1748)),"Needs a date",IF(INT($B1748)&lt;PlanDate,"Past due",IF(INT($B1748)=PlanDate,"Due today",IF(AND(INDEX(Buffers!$L:$L,MATCH($H1748,Buffers!$AE:$AE,0))="Planned",$E1748&gt;0,INT($B1748)&lt;=PlanDate+ROUNDUP(IF(ISNUMBER(SpikeHorizon),SpikeHorizon,INDEX(Buffers!$D:$D,MATCH($H1748,Buffers!$AE:$AE,0))),0),$E1748&gt;=SpikePct*INDEX(Buffers!$P:$P,MATCH($H1748,Buffers!$AE:$AE,0))),"Spike","Not qualified"))))))</f>
        <v/>
      </c>
      <c r="G1748" s="8" t="str">
        <f aca="false">IF($A1748="","",IF(OR($F1748="Past due",$F1748="Due today",$F1748="Spike"),$C1748,0))</f>
        <v/>
      </c>
      <c r="H1748" s="8" t="str">
        <f aca="false">IF($A1748="","",SUBSTITUTE(SUBSTITUTE(SUBSTITUTE($A1748&amp;"","~","~~"),"*","~*"),"?","~?"))</f>
        <v/>
      </c>
    </row>
    <row r="1749" customFormat="false" ht="15" hidden="false" customHeight="false" outlineLevel="0" collapsed="false">
      <c r="A1749" s="11"/>
      <c r="B1749" s="6"/>
      <c r="C1749" s="11"/>
      <c r="D1749" s="11"/>
      <c r="E1749" s="8" t="str">
        <f aca="false">IF($A1749="","",SUMIFS($C:$C,$A:$A,$H1749,$B:$B,"&gt;="&amp;INT($B1749),$B:$B,"&lt;"&amp;(INT($B1749)+1)))</f>
        <v/>
      </c>
      <c r="F1749" s="19" t="str">
        <f aca="false">IF($A1749="","",IF(ISNA(MATCH($H1749,Buffers!$AE:$AE,0)),"Not on Buffers",IF(NOT(ISNUMBER($B1749)),"Needs a date",IF(INT($B1749)&lt;PlanDate,"Past due",IF(INT($B1749)=PlanDate,"Due today",IF(AND(INDEX(Buffers!$L:$L,MATCH($H1749,Buffers!$AE:$AE,0))="Planned",$E1749&gt;0,INT($B1749)&lt;=PlanDate+ROUNDUP(IF(ISNUMBER(SpikeHorizon),SpikeHorizon,INDEX(Buffers!$D:$D,MATCH($H1749,Buffers!$AE:$AE,0))),0),$E1749&gt;=SpikePct*INDEX(Buffers!$P:$P,MATCH($H1749,Buffers!$AE:$AE,0))),"Spike","Not qualified"))))))</f>
        <v/>
      </c>
      <c r="G1749" s="8" t="str">
        <f aca="false">IF($A1749="","",IF(OR($F1749="Past due",$F1749="Due today",$F1749="Spike"),$C1749,0))</f>
        <v/>
      </c>
      <c r="H1749" s="8" t="str">
        <f aca="false">IF($A1749="","",SUBSTITUTE(SUBSTITUTE(SUBSTITUTE($A1749&amp;"","~","~~"),"*","~*"),"?","~?"))</f>
        <v/>
      </c>
    </row>
    <row r="1750" customFormat="false" ht="15" hidden="false" customHeight="false" outlineLevel="0" collapsed="false">
      <c r="A1750" s="11"/>
      <c r="B1750" s="6"/>
      <c r="C1750" s="11"/>
      <c r="D1750" s="11"/>
      <c r="E1750" s="8" t="str">
        <f aca="false">IF($A1750="","",SUMIFS($C:$C,$A:$A,$H1750,$B:$B,"&gt;="&amp;INT($B1750),$B:$B,"&lt;"&amp;(INT($B1750)+1)))</f>
        <v/>
      </c>
      <c r="F1750" s="19" t="str">
        <f aca="false">IF($A1750="","",IF(ISNA(MATCH($H1750,Buffers!$AE:$AE,0)),"Not on Buffers",IF(NOT(ISNUMBER($B1750)),"Needs a date",IF(INT($B1750)&lt;PlanDate,"Past due",IF(INT($B1750)=PlanDate,"Due today",IF(AND(INDEX(Buffers!$L:$L,MATCH($H1750,Buffers!$AE:$AE,0))="Planned",$E1750&gt;0,INT($B1750)&lt;=PlanDate+ROUNDUP(IF(ISNUMBER(SpikeHorizon),SpikeHorizon,INDEX(Buffers!$D:$D,MATCH($H1750,Buffers!$AE:$AE,0))),0),$E1750&gt;=SpikePct*INDEX(Buffers!$P:$P,MATCH($H1750,Buffers!$AE:$AE,0))),"Spike","Not qualified"))))))</f>
        <v/>
      </c>
      <c r="G1750" s="8" t="str">
        <f aca="false">IF($A1750="","",IF(OR($F1750="Past due",$F1750="Due today",$F1750="Spike"),$C1750,0))</f>
        <v/>
      </c>
      <c r="H1750" s="8" t="str">
        <f aca="false">IF($A1750="","",SUBSTITUTE(SUBSTITUTE(SUBSTITUTE($A1750&amp;"","~","~~"),"*","~*"),"?","~?"))</f>
        <v/>
      </c>
    </row>
    <row r="1751" customFormat="false" ht="15" hidden="false" customHeight="false" outlineLevel="0" collapsed="false">
      <c r="A1751" s="11"/>
      <c r="B1751" s="6"/>
      <c r="C1751" s="11"/>
      <c r="D1751" s="11"/>
      <c r="E1751" s="8" t="str">
        <f aca="false">IF($A1751="","",SUMIFS($C:$C,$A:$A,$H1751,$B:$B,"&gt;="&amp;INT($B1751),$B:$B,"&lt;"&amp;(INT($B1751)+1)))</f>
        <v/>
      </c>
      <c r="F1751" s="19" t="str">
        <f aca="false">IF($A1751="","",IF(ISNA(MATCH($H1751,Buffers!$AE:$AE,0)),"Not on Buffers",IF(NOT(ISNUMBER($B1751)),"Needs a date",IF(INT($B1751)&lt;PlanDate,"Past due",IF(INT($B1751)=PlanDate,"Due today",IF(AND(INDEX(Buffers!$L:$L,MATCH($H1751,Buffers!$AE:$AE,0))="Planned",$E1751&gt;0,INT($B1751)&lt;=PlanDate+ROUNDUP(IF(ISNUMBER(SpikeHorizon),SpikeHorizon,INDEX(Buffers!$D:$D,MATCH($H1751,Buffers!$AE:$AE,0))),0),$E1751&gt;=SpikePct*INDEX(Buffers!$P:$P,MATCH($H1751,Buffers!$AE:$AE,0))),"Spike","Not qualified"))))))</f>
        <v/>
      </c>
      <c r="G1751" s="8" t="str">
        <f aca="false">IF($A1751="","",IF(OR($F1751="Past due",$F1751="Due today",$F1751="Spike"),$C1751,0))</f>
        <v/>
      </c>
      <c r="H1751" s="8" t="str">
        <f aca="false">IF($A1751="","",SUBSTITUTE(SUBSTITUTE(SUBSTITUTE($A1751&amp;"","~","~~"),"*","~*"),"?","~?"))</f>
        <v/>
      </c>
    </row>
    <row r="1752" customFormat="false" ht="15" hidden="false" customHeight="false" outlineLevel="0" collapsed="false">
      <c r="A1752" s="11"/>
      <c r="B1752" s="6"/>
      <c r="C1752" s="11"/>
      <c r="D1752" s="11"/>
      <c r="E1752" s="8" t="str">
        <f aca="false">IF($A1752="","",SUMIFS($C:$C,$A:$A,$H1752,$B:$B,"&gt;="&amp;INT($B1752),$B:$B,"&lt;"&amp;(INT($B1752)+1)))</f>
        <v/>
      </c>
      <c r="F1752" s="19" t="str">
        <f aca="false">IF($A1752="","",IF(ISNA(MATCH($H1752,Buffers!$AE:$AE,0)),"Not on Buffers",IF(NOT(ISNUMBER($B1752)),"Needs a date",IF(INT($B1752)&lt;PlanDate,"Past due",IF(INT($B1752)=PlanDate,"Due today",IF(AND(INDEX(Buffers!$L:$L,MATCH($H1752,Buffers!$AE:$AE,0))="Planned",$E1752&gt;0,INT($B1752)&lt;=PlanDate+ROUNDUP(IF(ISNUMBER(SpikeHorizon),SpikeHorizon,INDEX(Buffers!$D:$D,MATCH($H1752,Buffers!$AE:$AE,0))),0),$E1752&gt;=SpikePct*INDEX(Buffers!$P:$P,MATCH($H1752,Buffers!$AE:$AE,0))),"Spike","Not qualified"))))))</f>
        <v/>
      </c>
      <c r="G1752" s="8" t="str">
        <f aca="false">IF($A1752="","",IF(OR($F1752="Past due",$F1752="Due today",$F1752="Spike"),$C1752,0))</f>
        <v/>
      </c>
      <c r="H1752" s="8" t="str">
        <f aca="false">IF($A1752="","",SUBSTITUTE(SUBSTITUTE(SUBSTITUTE($A1752&amp;"","~","~~"),"*","~*"),"?","~?"))</f>
        <v/>
      </c>
    </row>
    <row r="1753" customFormat="false" ht="15" hidden="false" customHeight="false" outlineLevel="0" collapsed="false">
      <c r="A1753" s="11"/>
      <c r="B1753" s="6"/>
      <c r="C1753" s="11"/>
      <c r="D1753" s="11"/>
      <c r="E1753" s="8" t="str">
        <f aca="false">IF($A1753="","",SUMIFS($C:$C,$A:$A,$H1753,$B:$B,"&gt;="&amp;INT($B1753),$B:$B,"&lt;"&amp;(INT($B1753)+1)))</f>
        <v/>
      </c>
      <c r="F1753" s="19" t="str">
        <f aca="false">IF($A1753="","",IF(ISNA(MATCH($H1753,Buffers!$AE:$AE,0)),"Not on Buffers",IF(NOT(ISNUMBER($B1753)),"Needs a date",IF(INT($B1753)&lt;PlanDate,"Past due",IF(INT($B1753)=PlanDate,"Due today",IF(AND(INDEX(Buffers!$L:$L,MATCH($H1753,Buffers!$AE:$AE,0))="Planned",$E1753&gt;0,INT($B1753)&lt;=PlanDate+ROUNDUP(IF(ISNUMBER(SpikeHorizon),SpikeHorizon,INDEX(Buffers!$D:$D,MATCH($H1753,Buffers!$AE:$AE,0))),0),$E1753&gt;=SpikePct*INDEX(Buffers!$P:$P,MATCH($H1753,Buffers!$AE:$AE,0))),"Spike","Not qualified"))))))</f>
        <v/>
      </c>
      <c r="G1753" s="8" t="str">
        <f aca="false">IF($A1753="","",IF(OR($F1753="Past due",$F1753="Due today",$F1753="Spike"),$C1753,0))</f>
        <v/>
      </c>
      <c r="H1753" s="8" t="str">
        <f aca="false">IF($A1753="","",SUBSTITUTE(SUBSTITUTE(SUBSTITUTE($A1753&amp;"","~","~~"),"*","~*"),"?","~?"))</f>
        <v/>
      </c>
    </row>
    <row r="1754" customFormat="false" ht="15" hidden="false" customHeight="false" outlineLevel="0" collapsed="false">
      <c r="A1754" s="11"/>
      <c r="B1754" s="6"/>
      <c r="C1754" s="11"/>
      <c r="D1754" s="11"/>
      <c r="E1754" s="8" t="str">
        <f aca="false">IF($A1754="","",SUMIFS($C:$C,$A:$A,$H1754,$B:$B,"&gt;="&amp;INT($B1754),$B:$B,"&lt;"&amp;(INT($B1754)+1)))</f>
        <v/>
      </c>
      <c r="F1754" s="19" t="str">
        <f aca="false">IF($A1754="","",IF(ISNA(MATCH($H1754,Buffers!$AE:$AE,0)),"Not on Buffers",IF(NOT(ISNUMBER($B1754)),"Needs a date",IF(INT($B1754)&lt;PlanDate,"Past due",IF(INT($B1754)=PlanDate,"Due today",IF(AND(INDEX(Buffers!$L:$L,MATCH($H1754,Buffers!$AE:$AE,0))="Planned",$E1754&gt;0,INT($B1754)&lt;=PlanDate+ROUNDUP(IF(ISNUMBER(SpikeHorizon),SpikeHorizon,INDEX(Buffers!$D:$D,MATCH($H1754,Buffers!$AE:$AE,0))),0),$E1754&gt;=SpikePct*INDEX(Buffers!$P:$P,MATCH($H1754,Buffers!$AE:$AE,0))),"Spike","Not qualified"))))))</f>
        <v/>
      </c>
      <c r="G1754" s="8" t="str">
        <f aca="false">IF($A1754="","",IF(OR($F1754="Past due",$F1754="Due today",$F1754="Spike"),$C1754,0))</f>
        <v/>
      </c>
      <c r="H1754" s="8" t="str">
        <f aca="false">IF($A1754="","",SUBSTITUTE(SUBSTITUTE(SUBSTITUTE($A1754&amp;"","~","~~"),"*","~*"),"?","~?"))</f>
        <v/>
      </c>
    </row>
    <row r="1755" customFormat="false" ht="15" hidden="false" customHeight="false" outlineLevel="0" collapsed="false">
      <c r="A1755" s="11"/>
      <c r="B1755" s="6"/>
      <c r="C1755" s="11"/>
      <c r="D1755" s="11"/>
      <c r="E1755" s="8" t="str">
        <f aca="false">IF($A1755="","",SUMIFS($C:$C,$A:$A,$H1755,$B:$B,"&gt;="&amp;INT($B1755),$B:$B,"&lt;"&amp;(INT($B1755)+1)))</f>
        <v/>
      </c>
      <c r="F1755" s="19" t="str">
        <f aca="false">IF($A1755="","",IF(ISNA(MATCH($H1755,Buffers!$AE:$AE,0)),"Not on Buffers",IF(NOT(ISNUMBER($B1755)),"Needs a date",IF(INT($B1755)&lt;PlanDate,"Past due",IF(INT($B1755)=PlanDate,"Due today",IF(AND(INDEX(Buffers!$L:$L,MATCH($H1755,Buffers!$AE:$AE,0))="Planned",$E1755&gt;0,INT($B1755)&lt;=PlanDate+ROUNDUP(IF(ISNUMBER(SpikeHorizon),SpikeHorizon,INDEX(Buffers!$D:$D,MATCH($H1755,Buffers!$AE:$AE,0))),0),$E1755&gt;=SpikePct*INDEX(Buffers!$P:$P,MATCH($H1755,Buffers!$AE:$AE,0))),"Spike","Not qualified"))))))</f>
        <v/>
      </c>
      <c r="G1755" s="8" t="str">
        <f aca="false">IF($A1755="","",IF(OR($F1755="Past due",$F1755="Due today",$F1755="Spike"),$C1755,0))</f>
        <v/>
      </c>
      <c r="H1755" s="8" t="str">
        <f aca="false">IF($A1755="","",SUBSTITUTE(SUBSTITUTE(SUBSTITUTE($A1755&amp;"","~","~~"),"*","~*"),"?","~?"))</f>
        <v/>
      </c>
    </row>
    <row r="1756" customFormat="false" ht="15" hidden="false" customHeight="false" outlineLevel="0" collapsed="false">
      <c r="A1756" s="11"/>
      <c r="B1756" s="6"/>
      <c r="C1756" s="11"/>
      <c r="D1756" s="11"/>
      <c r="E1756" s="8" t="str">
        <f aca="false">IF($A1756="","",SUMIFS($C:$C,$A:$A,$H1756,$B:$B,"&gt;="&amp;INT($B1756),$B:$B,"&lt;"&amp;(INT($B1756)+1)))</f>
        <v/>
      </c>
      <c r="F1756" s="19" t="str">
        <f aca="false">IF($A1756="","",IF(ISNA(MATCH($H1756,Buffers!$AE:$AE,0)),"Not on Buffers",IF(NOT(ISNUMBER($B1756)),"Needs a date",IF(INT($B1756)&lt;PlanDate,"Past due",IF(INT($B1756)=PlanDate,"Due today",IF(AND(INDEX(Buffers!$L:$L,MATCH($H1756,Buffers!$AE:$AE,0))="Planned",$E1756&gt;0,INT($B1756)&lt;=PlanDate+ROUNDUP(IF(ISNUMBER(SpikeHorizon),SpikeHorizon,INDEX(Buffers!$D:$D,MATCH($H1756,Buffers!$AE:$AE,0))),0),$E1756&gt;=SpikePct*INDEX(Buffers!$P:$P,MATCH($H1756,Buffers!$AE:$AE,0))),"Spike","Not qualified"))))))</f>
        <v/>
      </c>
      <c r="G1756" s="8" t="str">
        <f aca="false">IF($A1756="","",IF(OR($F1756="Past due",$F1756="Due today",$F1756="Spike"),$C1756,0))</f>
        <v/>
      </c>
      <c r="H1756" s="8" t="str">
        <f aca="false">IF($A1756="","",SUBSTITUTE(SUBSTITUTE(SUBSTITUTE($A1756&amp;"","~","~~"),"*","~*"),"?","~?"))</f>
        <v/>
      </c>
    </row>
    <row r="1757" customFormat="false" ht="15" hidden="false" customHeight="false" outlineLevel="0" collapsed="false">
      <c r="A1757" s="11"/>
      <c r="B1757" s="6"/>
      <c r="C1757" s="11"/>
      <c r="D1757" s="11"/>
      <c r="E1757" s="8" t="str">
        <f aca="false">IF($A1757="","",SUMIFS($C:$C,$A:$A,$H1757,$B:$B,"&gt;="&amp;INT($B1757),$B:$B,"&lt;"&amp;(INT($B1757)+1)))</f>
        <v/>
      </c>
      <c r="F1757" s="19" t="str">
        <f aca="false">IF($A1757="","",IF(ISNA(MATCH($H1757,Buffers!$AE:$AE,0)),"Not on Buffers",IF(NOT(ISNUMBER($B1757)),"Needs a date",IF(INT($B1757)&lt;PlanDate,"Past due",IF(INT($B1757)=PlanDate,"Due today",IF(AND(INDEX(Buffers!$L:$L,MATCH($H1757,Buffers!$AE:$AE,0))="Planned",$E1757&gt;0,INT($B1757)&lt;=PlanDate+ROUNDUP(IF(ISNUMBER(SpikeHorizon),SpikeHorizon,INDEX(Buffers!$D:$D,MATCH($H1757,Buffers!$AE:$AE,0))),0),$E1757&gt;=SpikePct*INDEX(Buffers!$P:$P,MATCH($H1757,Buffers!$AE:$AE,0))),"Spike","Not qualified"))))))</f>
        <v/>
      </c>
      <c r="G1757" s="8" t="str">
        <f aca="false">IF($A1757="","",IF(OR($F1757="Past due",$F1757="Due today",$F1757="Spike"),$C1757,0))</f>
        <v/>
      </c>
      <c r="H1757" s="8" t="str">
        <f aca="false">IF($A1757="","",SUBSTITUTE(SUBSTITUTE(SUBSTITUTE($A1757&amp;"","~","~~"),"*","~*"),"?","~?"))</f>
        <v/>
      </c>
    </row>
    <row r="1758" customFormat="false" ht="15" hidden="false" customHeight="false" outlineLevel="0" collapsed="false">
      <c r="A1758" s="11"/>
      <c r="B1758" s="6"/>
      <c r="C1758" s="11"/>
      <c r="D1758" s="11"/>
      <c r="E1758" s="8" t="str">
        <f aca="false">IF($A1758="","",SUMIFS($C:$C,$A:$A,$H1758,$B:$B,"&gt;="&amp;INT($B1758),$B:$B,"&lt;"&amp;(INT($B1758)+1)))</f>
        <v/>
      </c>
      <c r="F1758" s="19" t="str">
        <f aca="false">IF($A1758="","",IF(ISNA(MATCH($H1758,Buffers!$AE:$AE,0)),"Not on Buffers",IF(NOT(ISNUMBER($B1758)),"Needs a date",IF(INT($B1758)&lt;PlanDate,"Past due",IF(INT($B1758)=PlanDate,"Due today",IF(AND(INDEX(Buffers!$L:$L,MATCH($H1758,Buffers!$AE:$AE,0))="Planned",$E1758&gt;0,INT($B1758)&lt;=PlanDate+ROUNDUP(IF(ISNUMBER(SpikeHorizon),SpikeHorizon,INDEX(Buffers!$D:$D,MATCH($H1758,Buffers!$AE:$AE,0))),0),$E1758&gt;=SpikePct*INDEX(Buffers!$P:$P,MATCH($H1758,Buffers!$AE:$AE,0))),"Spike","Not qualified"))))))</f>
        <v/>
      </c>
      <c r="G1758" s="8" t="str">
        <f aca="false">IF($A1758="","",IF(OR($F1758="Past due",$F1758="Due today",$F1758="Spike"),$C1758,0))</f>
        <v/>
      </c>
      <c r="H1758" s="8" t="str">
        <f aca="false">IF($A1758="","",SUBSTITUTE(SUBSTITUTE(SUBSTITUTE($A1758&amp;"","~","~~"),"*","~*"),"?","~?"))</f>
        <v/>
      </c>
    </row>
    <row r="1759" customFormat="false" ht="15" hidden="false" customHeight="false" outlineLevel="0" collapsed="false">
      <c r="A1759" s="11"/>
      <c r="B1759" s="6"/>
      <c r="C1759" s="11"/>
      <c r="D1759" s="11"/>
      <c r="E1759" s="8" t="str">
        <f aca="false">IF($A1759="","",SUMIFS($C:$C,$A:$A,$H1759,$B:$B,"&gt;="&amp;INT($B1759),$B:$B,"&lt;"&amp;(INT($B1759)+1)))</f>
        <v/>
      </c>
      <c r="F1759" s="19" t="str">
        <f aca="false">IF($A1759="","",IF(ISNA(MATCH($H1759,Buffers!$AE:$AE,0)),"Not on Buffers",IF(NOT(ISNUMBER($B1759)),"Needs a date",IF(INT($B1759)&lt;PlanDate,"Past due",IF(INT($B1759)=PlanDate,"Due today",IF(AND(INDEX(Buffers!$L:$L,MATCH($H1759,Buffers!$AE:$AE,0))="Planned",$E1759&gt;0,INT($B1759)&lt;=PlanDate+ROUNDUP(IF(ISNUMBER(SpikeHorizon),SpikeHorizon,INDEX(Buffers!$D:$D,MATCH($H1759,Buffers!$AE:$AE,0))),0),$E1759&gt;=SpikePct*INDEX(Buffers!$P:$P,MATCH($H1759,Buffers!$AE:$AE,0))),"Spike","Not qualified"))))))</f>
        <v/>
      </c>
      <c r="G1759" s="8" t="str">
        <f aca="false">IF($A1759="","",IF(OR($F1759="Past due",$F1759="Due today",$F1759="Spike"),$C1759,0))</f>
        <v/>
      </c>
      <c r="H1759" s="8" t="str">
        <f aca="false">IF($A1759="","",SUBSTITUTE(SUBSTITUTE(SUBSTITUTE($A1759&amp;"","~","~~"),"*","~*"),"?","~?"))</f>
        <v/>
      </c>
    </row>
    <row r="1760" customFormat="false" ht="15" hidden="false" customHeight="false" outlineLevel="0" collapsed="false">
      <c r="A1760" s="11"/>
      <c r="B1760" s="6"/>
      <c r="C1760" s="11"/>
      <c r="D1760" s="11"/>
      <c r="E1760" s="8" t="str">
        <f aca="false">IF($A1760="","",SUMIFS($C:$C,$A:$A,$H1760,$B:$B,"&gt;="&amp;INT($B1760),$B:$B,"&lt;"&amp;(INT($B1760)+1)))</f>
        <v/>
      </c>
      <c r="F1760" s="19" t="str">
        <f aca="false">IF($A1760="","",IF(ISNA(MATCH($H1760,Buffers!$AE:$AE,0)),"Not on Buffers",IF(NOT(ISNUMBER($B1760)),"Needs a date",IF(INT($B1760)&lt;PlanDate,"Past due",IF(INT($B1760)=PlanDate,"Due today",IF(AND(INDEX(Buffers!$L:$L,MATCH($H1760,Buffers!$AE:$AE,0))="Planned",$E1760&gt;0,INT($B1760)&lt;=PlanDate+ROUNDUP(IF(ISNUMBER(SpikeHorizon),SpikeHorizon,INDEX(Buffers!$D:$D,MATCH($H1760,Buffers!$AE:$AE,0))),0),$E1760&gt;=SpikePct*INDEX(Buffers!$P:$P,MATCH($H1760,Buffers!$AE:$AE,0))),"Spike","Not qualified"))))))</f>
        <v/>
      </c>
      <c r="G1760" s="8" t="str">
        <f aca="false">IF($A1760="","",IF(OR($F1760="Past due",$F1760="Due today",$F1760="Spike"),$C1760,0))</f>
        <v/>
      </c>
      <c r="H1760" s="8" t="str">
        <f aca="false">IF($A1760="","",SUBSTITUTE(SUBSTITUTE(SUBSTITUTE($A1760&amp;"","~","~~"),"*","~*"),"?","~?"))</f>
        <v/>
      </c>
    </row>
    <row r="1761" customFormat="false" ht="15" hidden="false" customHeight="false" outlineLevel="0" collapsed="false">
      <c r="A1761" s="11"/>
      <c r="B1761" s="6"/>
      <c r="C1761" s="11"/>
      <c r="D1761" s="11"/>
      <c r="E1761" s="8" t="str">
        <f aca="false">IF($A1761="","",SUMIFS($C:$C,$A:$A,$H1761,$B:$B,"&gt;="&amp;INT($B1761),$B:$B,"&lt;"&amp;(INT($B1761)+1)))</f>
        <v/>
      </c>
      <c r="F1761" s="19" t="str">
        <f aca="false">IF($A1761="","",IF(ISNA(MATCH($H1761,Buffers!$AE:$AE,0)),"Not on Buffers",IF(NOT(ISNUMBER($B1761)),"Needs a date",IF(INT($B1761)&lt;PlanDate,"Past due",IF(INT($B1761)=PlanDate,"Due today",IF(AND(INDEX(Buffers!$L:$L,MATCH($H1761,Buffers!$AE:$AE,0))="Planned",$E1761&gt;0,INT($B1761)&lt;=PlanDate+ROUNDUP(IF(ISNUMBER(SpikeHorizon),SpikeHorizon,INDEX(Buffers!$D:$D,MATCH($H1761,Buffers!$AE:$AE,0))),0),$E1761&gt;=SpikePct*INDEX(Buffers!$P:$P,MATCH($H1761,Buffers!$AE:$AE,0))),"Spike","Not qualified"))))))</f>
        <v/>
      </c>
      <c r="G1761" s="8" t="str">
        <f aca="false">IF($A1761="","",IF(OR($F1761="Past due",$F1761="Due today",$F1761="Spike"),$C1761,0))</f>
        <v/>
      </c>
      <c r="H1761" s="8" t="str">
        <f aca="false">IF($A1761="","",SUBSTITUTE(SUBSTITUTE(SUBSTITUTE($A1761&amp;"","~","~~"),"*","~*"),"?","~?"))</f>
        <v/>
      </c>
    </row>
    <row r="1762" customFormat="false" ht="15" hidden="false" customHeight="false" outlineLevel="0" collapsed="false">
      <c r="A1762" s="11"/>
      <c r="B1762" s="6"/>
      <c r="C1762" s="11"/>
      <c r="D1762" s="11"/>
      <c r="E1762" s="8" t="str">
        <f aca="false">IF($A1762="","",SUMIFS($C:$C,$A:$A,$H1762,$B:$B,"&gt;="&amp;INT($B1762),$B:$B,"&lt;"&amp;(INT($B1762)+1)))</f>
        <v/>
      </c>
      <c r="F1762" s="19" t="str">
        <f aca="false">IF($A1762="","",IF(ISNA(MATCH($H1762,Buffers!$AE:$AE,0)),"Not on Buffers",IF(NOT(ISNUMBER($B1762)),"Needs a date",IF(INT($B1762)&lt;PlanDate,"Past due",IF(INT($B1762)=PlanDate,"Due today",IF(AND(INDEX(Buffers!$L:$L,MATCH($H1762,Buffers!$AE:$AE,0))="Planned",$E1762&gt;0,INT($B1762)&lt;=PlanDate+ROUNDUP(IF(ISNUMBER(SpikeHorizon),SpikeHorizon,INDEX(Buffers!$D:$D,MATCH($H1762,Buffers!$AE:$AE,0))),0),$E1762&gt;=SpikePct*INDEX(Buffers!$P:$P,MATCH($H1762,Buffers!$AE:$AE,0))),"Spike","Not qualified"))))))</f>
        <v/>
      </c>
      <c r="G1762" s="8" t="str">
        <f aca="false">IF($A1762="","",IF(OR($F1762="Past due",$F1762="Due today",$F1762="Spike"),$C1762,0))</f>
        <v/>
      </c>
      <c r="H1762" s="8" t="str">
        <f aca="false">IF($A1762="","",SUBSTITUTE(SUBSTITUTE(SUBSTITUTE($A1762&amp;"","~","~~"),"*","~*"),"?","~?"))</f>
        <v/>
      </c>
    </row>
    <row r="1763" customFormat="false" ht="15" hidden="false" customHeight="false" outlineLevel="0" collapsed="false">
      <c r="A1763" s="11"/>
      <c r="B1763" s="6"/>
      <c r="C1763" s="11"/>
      <c r="D1763" s="11"/>
      <c r="E1763" s="8" t="str">
        <f aca="false">IF($A1763="","",SUMIFS($C:$C,$A:$A,$H1763,$B:$B,"&gt;="&amp;INT($B1763),$B:$B,"&lt;"&amp;(INT($B1763)+1)))</f>
        <v/>
      </c>
      <c r="F1763" s="19" t="str">
        <f aca="false">IF($A1763="","",IF(ISNA(MATCH($H1763,Buffers!$AE:$AE,0)),"Not on Buffers",IF(NOT(ISNUMBER($B1763)),"Needs a date",IF(INT($B1763)&lt;PlanDate,"Past due",IF(INT($B1763)=PlanDate,"Due today",IF(AND(INDEX(Buffers!$L:$L,MATCH($H1763,Buffers!$AE:$AE,0))="Planned",$E1763&gt;0,INT($B1763)&lt;=PlanDate+ROUNDUP(IF(ISNUMBER(SpikeHorizon),SpikeHorizon,INDEX(Buffers!$D:$D,MATCH($H1763,Buffers!$AE:$AE,0))),0),$E1763&gt;=SpikePct*INDEX(Buffers!$P:$P,MATCH($H1763,Buffers!$AE:$AE,0))),"Spike","Not qualified"))))))</f>
        <v/>
      </c>
      <c r="G1763" s="8" t="str">
        <f aca="false">IF($A1763="","",IF(OR($F1763="Past due",$F1763="Due today",$F1763="Spike"),$C1763,0))</f>
        <v/>
      </c>
      <c r="H1763" s="8" t="str">
        <f aca="false">IF($A1763="","",SUBSTITUTE(SUBSTITUTE(SUBSTITUTE($A1763&amp;"","~","~~"),"*","~*"),"?","~?"))</f>
        <v/>
      </c>
    </row>
    <row r="1764" customFormat="false" ht="15" hidden="false" customHeight="false" outlineLevel="0" collapsed="false">
      <c r="A1764" s="11"/>
      <c r="B1764" s="6"/>
      <c r="C1764" s="11"/>
      <c r="D1764" s="11"/>
      <c r="E1764" s="8" t="str">
        <f aca="false">IF($A1764="","",SUMIFS($C:$C,$A:$A,$H1764,$B:$B,"&gt;="&amp;INT($B1764),$B:$B,"&lt;"&amp;(INT($B1764)+1)))</f>
        <v/>
      </c>
      <c r="F1764" s="19" t="str">
        <f aca="false">IF($A1764="","",IF(ISNA(MATCH($H1764,Buffers!$AE:$AE,0)),"Not on Buffers",IF(NOT(ISNUMBER($B1764)),"Needs a date",IF(INT($B1764)&lt;PlanDate,"Past due",IF(INT($B1764)=PlanDate,"Due today",IF(AND(INDEX(Buffers!$L:$L,MATCH($H1764,Buffers!$AE:$AE,0))="Planned",$E1764&gt;0,INT($B1764)&lt;=PlanDate+ROUNDUP(IF(ISNUMBER(SpikeHorizon),SpikeHorizon,INDEX(Buffers!$D:$D,MATCH($H1764,Buffers!$AE:$AE,0))),0),$E1764&gt;=SpikePct*INDEX(Buffers!$P:$P,MATCH($H1764,Buffers!$AE:$AE,0))),"Spike","Not qualified"))))))</f>
        <v/>
      </c>
      <c r="G1764" s="8" t="str">
        <f aca="false">IF($A1764="","",IF(OR($F1764="Past due",$F1764="Due today",$F1764="Spike"),$C1764,0))</f>
        <v/>
      </c>
      <c r="H1764" s="8" t="str">
        <f aca="false">IF($A1764="","",SUBSTITUTE(SUBSTITUTE(SUBSTITUTE($A1764&amp;"","~","~~"),"*","~*"),"?","~?"))</f>
        <v/>
      </c>
    </row>
    <row r="1765" customFormat="false" ht="15" hidden="false" customHeight="false" outlineLevel="0" collapsed="false">
      <c r="A1765" s="11"/>
      <c r="B1765" s="6"/>
      <c r="C1765" s="11"/>
      <c r="D1765" s="11"/>
      <c r="E1765" s="8" t="str">
        <f aca="false">IF($A1765="","",SUMIFS($C:$C,$A:$A,$H1765,$B:$B,"&gt;="&amp;INT($B1765),$B:$B,"&lt;"&amp;(INT($B1765)+1)))</f>
        <v/>
      </c>
      <c r="F1765" s="19" t="str">
        <f aca="false">IF($A1765="","",IF(ISNA(MATCH($H1765,Buffers!$AE:$AE,0)),"Not on Buffers",IF(NOT(ISNUMBER($B1765)),"Needs a date",IF(INT($B1765)&lt;PlanDate,"Past due",IF(INT($B1765)=PlanDate,"Due today",IF(AND(INDEX(Buffers!$L:$L,MATCH($H1765,Buffers!$AE:$AE,0))="Planned",$E1765&gt;0,INT($B1765)&lt;=PlanDate+ROUNDUP(IF(ISNUMBER(SpikeHorizon),SpikeHorizon,INDEX(Buffers!$D:$D,MATCH($H1765,Buffers!$AE:$AE,0))),0),$E1765&gt;=SpikePct*INDEX(Buffers!$P:$P,MATCH($H1765,Buffers!$AE:$AE,0))),"Spike","Not qualified"))))))</f>
        <v/>
      </c>
      <c r="G1765" s="8" t="str">
        <f aca="false">IF($A1765="","",IF(OR($F1765="Past due",$F1765="Due today",$F1765="Spike"),$C1765,0))</f>
        <v/>
      </c>
      <c r="H1765" s="8" t="str">
        <f aca="false">IF($A1765="","",SUBSTITUTE(SUBSTITUTE(SUBSTITUTE($A1765&amp;"","~","~~"),"*","~*"),"?","~?"))</f>
        <v/>
      </c>
    </row>
    <row r="1766" customFormat="false" ht="15" hidden="false" customHeight="false" outlineLevel="0" collapsed="false">
      <c r="A1766" s="11"/>
      <c r="B1766" s="6"/>
      <c r="C1766" s="11"/>
      <c r="D1766" s="11"/>
      <c r="E1766" s="8" t="str">
        <f aca="false">IF($A1766="","",SUMIFS($C:$C,$A:$A,$H1766,$B:$B,"&gt;="&amp;INT($B1766),$B:$B,"&lt;"&amp;(INT($B1766)+1)))</f>
        <v/>
      </c>
      <c r="F1766" s="19" t="str">
        <f aca="false">IF($A1766="","",IF(ISNA(MATCH($H1766,Buffers!$AE:$AE,0)),"Not on Buffers",IF(NOT(ISNUMBER($B1766)),"Needs a date",IF(INT($B1766)&lt;PlanDate,"Past due",IF(INT($B1766)=PlanDate,"Due today",IF(AND(INDEX(Buffers!$L:$L,MATCH($H1766,Buffers!$AE:$AE,0))="Planned",$E1766&gt;0,INT($B1766)&lt;=PlanDate+ROUNDUP(IF(ISNUMBER(SpikeHorizon),SpikeHorizon,INDEX(Buffers!$D:$D,MATCH($H1766,Buffers!$AE:$AE,0))),0),$E1766&gt;=SpikePct*INDEX(Buffers!$P:$P,MATCH($H1766,Buffers!$AE:$AE,0))),"Spike","Not qualified"))))))</f>
        <v/>
      </c>
      <c r="G1766" s="8" t="str">
        <f aca="false">IF($A1766="","",IF(OR($F1766="Past due",$F1766="Due today",$F1766="Spike"),$C1766,0))</f>
        <v/>
      </c>
      <c r="H1766" s="8" t="str">
        <f aca="false">IF($A1766="","",SUBSTITUTE(SUBSTITUTE(SUBSTITUTE($A1766&amp;"","~","~~"),"*","~*"),"?","~?"))</f>
        <v/>
      </c>
    </row>
    <row r="1767" customFormat="false" ht="15" hidden="false" customHeight="false" outlineLevel="0" collapsed="false">
      <c r="A1767" s="11"/>
      <c r="B1767" s="6"/>
      <c r="C1767" s="11"/>
      <c r="D1767" s="11"/>
      <c r="E1767" s="8" t="str">
        <f aca="false">IF($A1767="","",SUMIFS($C:$C,$A:$A,$H1767,$B:$B,"&gt;="&amp;INT($B1767),$B:$B,"&lt;"&amp;(INT($B1767)+1)))</f>
        <v/>
      </c>
      <c r="F1767" s="19" t="str">
        <f aca="false">IF($A1767="","",IF(ISNA(MATCH($H1767,Buffers!$AE:$AE,0)),"Not on Buffers",IF(NOT(ISNUMBER($B1767)),"Needs a date",IF(INT($B1767)&lt;PlanDate,"Past due",IF(INT($B1767)=PlanDate,"Due today",IF(AND(INDEX(Buffers!$L:$L,MATCH($H1767,Buffers!$AE:$AE,0))="Planned",$E1767&gt;0,INT($B1767)&lt;=PlanDate+ROUNDUP(IF(ISNUMBER(SpikeHorizon),SpikeHorizon,INDEX(Buffers!$D:$D,MATCH($H1767,Buffers!$AE:$AE,0))),0),$E1767&gt;=SpikePct*INDEX(Buffers!$P:$P,MATCH($H1767,Buffers!$AE:$AE,0))),"Spike","Not qualified"))))))</f>
        <v/>
      </c>
      <c r="G1767" s="8" t="str">
        <f aca="false">IF($A1767="","",IF(OR($F1767="Past due",$F1767="Due today",$F1767="Spike"),$C1767,0))</f>
        <v/>
      </c>
      <c r="H1767" s="8" t="str">
        <f aca="false">IF($A1767="","",SUBSTITUTE(SUBSTITUTE(SUBSTITUTE($A1767&amp;"","~","~~"),"*","~*"),"?","~?"))</f>
        <v/>
      </c>
    </row>
    <row r="1768" customFormat="false" ht="15" hidden="false" customHeight="false" outlineLevel="0" collapsed="false">
      <c r="A1768" s="11"/>
      <c r="B1768" s="6"/>
      <c r="C1768" s="11"/>
      <c r="D1768" s="11"/>
      <c r="E1768" s="8" t="str">
        <f aca="false">IF($A1768="","",SUMIFS($C:$C,$A:$A,$H1768,$B:$B,"&gt;="&amp;INT($B1768),$B:$B,"&lt;"&amp;(INT($B1768)+1)))</f>
        <v/>
      </c>
      <c r="F1768" s="19" t="str">
        <f aca="false">IF($A1768="","",IF(ISNA(MATCH($H1768,Buffers!$AE:$AE,0)),"Not on Buffers",IF(NOT(ISNUMBER($B1768)),"Needs a date",IF(INT($B1768)&lt;PlanDate,"Past due",IF(INT($B1768)=PlanDate,"Due today",IF(AND(INDEX(Buffers!$L:$L,MATCH($H1768,Buffers!$AE:$AE,0))="Planned",$E1768&gt;0,INT($B1768)&lt;=PlanDate+ROUNDUP(IF(ISNUMBER(SpikeHorizon),SpikeHorizon,INDEX(Buffers!$D:$D,MATCH($H1768,Buffers!$AE:$AE,0))),0),$E1768&gt;=SpikePct*INDEX(Buffers!$P:$P,MATCH($H1768,Buffers!$AE:$AE,0))),"Spike","Not qualified"))))))</f>
        <v/>
      </c>
      <c r="G1768" s="8" t="str">
        <f aca="false">IF($A1768="","",IF(OR($F1768="Past due",$F1768="Due today",$F1768="Spike"),$C1768,0))</f>
        <v/>
      </c>
      <c r="H1768" s="8" t="str">
        <f aca="false">IF($A1768="","",SUBSTITUTE(SUBSTITUTE(SUBSTITUTE($A1768&amp;"","~","~~"),"*","~*"),"?","~?"))</f>
        <v/>
      </c>
    </row>
    <row r="1769" customFormat="false" ht="15" hidden="false" customHeight="false" outlineLevel="0" collapsed="false">
      <c r="A1769" s="11"/>
      <c r="B1769" s="6"/>
      <c r="C1769" s="11"/>
      <c r="D1769" s="11"/>
      <c r="E1769" s="8" t="str">
        <f aca="false">IF($A1769="","",SUMIFS($C:$C,$A:$A,$H1769,$B:$B,"&gt;="&amp;INT($B1769),$B:$B,"&lt;"&amp;(INT($B1769)+1)))</f>
        <v/>
      </c>
      <c r="F1769" s="19" t="str">
        <f aca="false">IF($A1769="","",IF(ISNA(MATCH($H1769,Buffers!$AE:$AE,0)),"Not on Buffers",IF(NOT(ISNUMBER($B1769)),"Needs a date",IF(INT($B1769)&lt;PlanDate,"Past due",IF(INT($B1769)=PlanDate,"Due today",IF(AND(INDEX(Buffers!$L:$L,MATCH($H1769,Buffers!$AE:$AE,0))="Planned",$E1769&gt;0,INT($B1769)&lt;=PlanDate+ROUNDUP(IF(ISNUMBER(SpikeHorizon),SpikeHorizon,INDEX(Buffers!$D:$D,MATCH($H1769,Buffers!$AE:$AE,0))),0),$E1769&gt;=SpikePct*INDEX(Buffers!$P:$P,MATCH($H1769,Buffers!$AE:$AE,0))),"Spike","Not qualified"))))))</f>
        <v/>
      </c>
      <c r="G1769" s="8" t="str">
        <f aca="false">IF($A1769="","",IF(OR($F1769="Past due",$F1769="Due today",$F1769="Spike"),$C1769,0))</f>
        <v/>
      </c>
      <c r="H1769" s="8" t="str">
        <f aca="false">IF($A1769="","",SUBSTITUTE(SUBSTITUTE(SUBSTITUTE($A1769&amp;"","~","~~"),"*","~*"),"?","~?"))</f>
        <v/>
      </c>
    </row>
    <row r="1770" customFormat="false" ht="15" hidden="false" customHeight="false" outlineLevel="0" collapsed="false">
      <c r="A1770" s="11"/>
      <c r="B1770" s="6"/>
      <c r="C1770" s="11"/>
      <c r="D1770" s="11"/>
      <c r="E1770" s="8" t="str">
        <f aca="false">IF($A1770="","",SUMIFS($C:$C,$A:$A,$H1770,$B:$B,"&gt;="&amp;INT($B1770),$B:$B,"&lt;"&amp;(INT($B1770)+1)))</f>
        <v/>
      </c>
      <c r="F1770" s="19" t="str">
        <f aca="false">IF($A1770="","",IF(ISNA(MATCH($H1770,Buffers!$AE:$AE,0)),"Not on Buffers",IF(NOT(ISNUMBER($B1770)),"Needs a date",IF(INT($B1770)&lt;PlanDate,"Past due",IF(INT($B1770)=PlanDate,"Due today",IF(AND(INDEX(Buffers!$L:$L,MATCH($H1770,Buffers!$AE:$AE,0))="Planned",$E1770&gt;0,INT($B1770)&lt;=PlanDate+ROUNDUP(IF(ISNUMBER(SpikeHorizon),SpikeHorizon,INDEX(Buffers!$D:$D,MATCH($H1770,Buffers!$AE:$AE,0))),0),$E1770&gt;=SpikePct*INDEX(Buffers!$P:$P,MATCH($H1770,Buffers!$AE:$AE,0))),"Spike","Not qualified"))))))</f>
        <v/>
      </c>
      <c r="G1770" s="8" t="str">
        <f aca="false">IF($A1770="","",IF(OR($F1770="Past due",$F1770="Due today",$F1770="Spike"),$C1770,0))</f>
        <v/>
      </c>
      <c r="H1770" s="8" t="str">
        <f aca="false">IF($A1770="","",SUBSTITUTE(SUBSTITUTE(SUBSTITUTE($A1770&amp;"","~","~~"),"*","~*"),"?","~?"))</f>
        <v/>
      </c>
    </row>
    <row r="1771" customFormat="false" ht="15" hidden="false" customHeight="false" outlineLevel="0" collapsed="false">
      <c r="A1771" s="11"/>
      <c r="B1771" s="6"/>
      <c r="C1771" s="11"/>
      <c r="D1771" s="11"/>
      <c r="E1771" s="8" t="str">
        <f aca="false">IF($A1771="","",SUMIFS($C:$C,$A:$A,$H1771,$B:$B,"&gt;="&amp;INT($B1771),$B:$B,"&lt;"&amp;(INT($B1771)+1)))</f>
        <v/>
      </c>
      <c r="F1771" s="19" t="str">
        <f aca="false">IF($A1771="","",IF(ISNA(MATCH($H1771,Buffers!$AE:$AE,0)),"Not on Buffers",IF(NOT(ISNUMBER($B1771)),"Needs a date",IF(INT($B1771)&lt;PlanDate,"Past due",IF(INT($B1771)=PlanDate,"Due today",IF(AND(INDEX(Buffers!$L:$L,MATCH($H1771,Buffers!$AE:$AE,0))="Planned",$E1771&gt;0,INT($B1771)&lt;=PlanDate+ROUNDUP(IF(ISNUMBER(SpikeHorizon),SpikeHorizon,INDEX(Buffers!$D:$D,MATCH($H1771,Buffers!$AE:$AE,0))),0),$E1771&gt;=SpikePct*INDEX(Buffers!$P:$P,MATCH($H1771,Buffers!$AE:$AE,0))),"Spike","Not qualified"))))))</f>
        <v/>
      </c>
      <c r="G1771" s="8" t="str">
        <f aca="false">IF($A1771="","",IF(OR($F1771="Past due",$F1771="Due today",$F1771="Spike"),$C1771,0))</f>
        <v/>
      </c>
      <c r="H1771" s="8" t="str">
        <f aca="false">IF($A1771="","",SUBSTITUTE(SUBSTITUTE(SUBSTITUTE($A1771&amp;"","~","~~"),"*","~*"),"?","~?"))</f>
        <v/>
      </c>
    </row>
    <row r="1772" customFormat="false" ht="15" hidden="false" customHeight="false" outlineLevel="0" collapsed="false">
      <c r="A1772" s="11"/>
      <c r="B1772" s="6"/>
      <c r="C1772" s="11"/>
      <c r="D1772" s="11"/>
      <c r="E1772" s="8" t="str">
        <f aca="false">IF($A1772="","",SUMIFS($C:$C,$A:$A,$H1772,$B:$B,"&gt;="&amp;INT($B1772),$B:$B,"&lt;"&amp;(INT($B1772)+1)))</f>
        <v/>
      </c>
      <c r="F1772" s="19" t="str">
        <f aca="false">IF($A1772="","",IF(ISNA(MATCH($H1772,Buffers!$AE:$AE,0)),"Not on Buffers",IF(NOT(ISNUMBER($B1772)),"Needs a date",IF(INT($B1772)&lt;PlanDate,"Past due",IF(INT($B1772)=PlanDate,"Due today",IF(AND(INDEX(Buffers!$L:$L,MATCH($H1772,Buffers!$AE:$AE,0))="Planned",$E1772&gt;0,INT($B1772)&lt;=PlanDate+ROUNDUP(IF(ISNUMBER(SpikeHorizon),SpikeHorizon,INDEX(Buffers!$D:$D,MATCH($H1772,Buffers!$AE:$AE,0))),0),$E1772&gt;=SpikePct*INDEX(Buffers!$P:$P,MATCH($H1772,Buffers!$AE:$AE,0))),"Spike","Not qualified"))))))</f>
        <v/>
      </c>
      <c r="G1772" s="8" t="str">
        <f aca="false">IF($A1772="","",IF(OR($F1772="Past due",$F1772="Due today",$F1772="Spike"),$C1772,0))</f>
        <v/>
      </c>
      <c r="H1772" s="8" t="str">
        <f aca="false">IF($A1772="","",SUBSTITUTE(SUBSTITUTE(SUBSTITUTE($A1772&amp;"","~","~~"),"*","~*"),"?","~?"))</f>
        <v/>
      </c>
    </row>
    <row r="1773" customFormat="false" ht="15" hidden="false" customHeight="false" outlineLevel="0" collapsed="false">
      <c r="A1773" s="11"/>
      <c r="B1773" s="6"/>
      <c r="C1773" s="11"/>
      <c r="D1773" s="11"/>
      <c r="E1773" s="8" t="str">
        <f aca="false">IF($A1773="","",SUMIFS($C:$C,$A:$A,$H1773,$B:$B,"&gt;="&amp;INT($B1773),$B:$B,"&lt;"&amp;(INT($B1773)+1)))</f>
        <v/>
      </c>
      <c r="F1773" s="19" t="str">
        <f aca="false">IF($A1773="","",IF(ISNA(MATCH($H1773,Buffers!$AE:$AE,0)),"Not on Buffers",IF(NOT(ISNUMBER($B1773)),"Needs a date",IF(INT($B1773)&lt;PlanDate,"Past due",IF(INT($B1773)=PlanDate,"Due today",IF(AND(INDEX(Buffers!$L:$L,MATCH($H1773,Buffers!$AE:$AE,0))="Planned",$E1773&gt;0,INT($B1773)&lt;=PlanDate+ROUNDUP(IF(ISNUMBER(SpikeHorizon),SpikeHorizon,INDEX(Buffers!$D:$D,MATCH($H1773,Buffers!$AE:$AE,0))),0),$E1773&gt;=SpikePct*INDEX(Buffers!$P:$P,MATCH($H1773,Buffers!$AE:$AE,0))),"Spike","Not qualified"))))))</f>
        <v/>
      </c>
      <c r="G1773" s="8" t="str">
        <f aca="false">IF($A1773="","",IF(OR($F1773="Past due",$F1773="Due today",$F1773="Spike"),$C1773,0))</f>
        <v/>
      </c>
      <c r="H1773" s="8" t="str">
        <f aca="false">IF($A1773="","",SUBSTITUTE(SUBSTITUTE(SUBSTITUTE($A1773&amp;"","~","~~"),"*","~*"),"?","~?"))</f>
        <v/>
      </c>
    </row>
    <row r="1774" customFormat="false" ht="15" hidden="false" customHeight="false" outlineLevel="0" collapsed="false">
      <c r="A1774" s="11"/>
      <c r="B1774" s="6"/>
      <c r="C1774" s="11"/>
      <c r="D1774" s="11"/>
      <c r="E1774" s="8" t="str">
        <f aca="false">IF($A1774="","",SUMIFS($C:$C,$A:$A,$H1774,$B:$B,"&gt;="&amp;INT($B1774),$B:$B,"&lt;"&amp;(INT($B1774)+1)))</f>
        <v/>
      </c>
      <c r="F1774" s="19" t="str">
        <f aca="false">IF($A1774="","",IF(ISNA(MATCH($H1774,Buffers!$AE:$AE,0)),"Not on Buffers",IF(NOT(ISNUMBER($B1774)),"Needs a date",IF(INT($B1774)&lt;PlanDate,"Past due",IF(INT($B1774)=PlanDate,"Due today",IF(AND(INDEX(Buffers!$L:$L,MATCH($H1774,Buffers!$AE:$AE,0))="Planned",$E1774&gt;0,INT($B1774)&lt;=PlanDate+ROUNDUP(IF(ISNUMBER(SpikeHorizon),SpikeHorizon,INDEX(Buffers!$D:$D,MATCH($H1774,Buffers!$AE:$AE,0))),0),$E1774&gt;=SpikePct*INDEX(Buffers!$P:$P,MATCH($H1774,Buffers!$AE:$AE,0))),"Spike","Not qualified"))))))</f>
        <v/>
      </c>
      <c r="G1774" s="8" t="str">
        <f aca="false">IF($A1774="","",IF(OR($F1774="Past due",$F1774="Due today",$F1774="Spike"),$C1774,0))</f>
        <v/>
      </c>
      <c r="H1774" s="8" t="str">
        <f aca="false">IF($A1774="","",SUBSTITUTE(SUBSTITUTE(SUBSTITUTE($A1774&amp;"","~","~~"),"*","~*"),"?","~?"))</f>
        <v/>
      </c>
    </row>
    <row r="1775" customFormat="false" ht="15" hidden="false" customHeight="false" outlineLevel="0" collapsed="false">
      <c r="A1775" s="11"/>
      <c r="B1775" s="6"/>
      <c r="C1775" s="11"/>
      <c r="D1775" s="11"/>
      <c r="E1775" s="8" t="str">
        <f aca="false">IF($A1775="","",SUMIFS($C:$C,$A:$A,$H1775,$B:$B,"&gt;="&amp;INT($B1775),$B:$B,"&lt;"&amp;(INT($B1775)+1)))</f>
        <v/>
      </c>
      <c r="F1775" s="19" t="str">
        <f aca="false">IF($A1775="","",IF(ISNA(MATCH($H1775,Buffers!$AE:$AE,0)),"Not on Buffers",IF(NOT(ISNUMBER($B1775)),"Needs a date",IF(INT($B1775)&lt;PlanDate,"Past due",IF(INT($B1775)=PlanDate,"Due today",IF(AND(INDEX(Buffers!$L:$L,MATCH($H1775,Buffers!$AE:$AE,0))="Planned",$E1775&gt;0,INT($B1775)&lt;=PlanDate+ROUNDUP(IF(ISNUMBER(SpikeHorizon),SpikeHorizon,INDEX(Buffers!$D:$D,MATCH($H1775,Buffers!$AE:$AE,0))),0),$E1775&gt;=SpikePct*INDEX(Buffers!$P:$P,MATCH($H1775,Buffers!$AE:$AE,0))),"Spike","Not qualified"))))))</f>
        <v/>
      </c>
      <c r="G1775" s="8" t="str">
        <f aca="false">IF($A1775="","",IF(OR($F1775="Past due",$F1775="Due today",$F1775="Spike"),$C1775,0))</f>
        <v/>
      </c>
      <c r="H1775" s="8" t="str">
        <f aca="false">IF($A1775="","",SUBSTITUTE(SUBSTITUTE(SUBSTITUTE($A1775&amp;"","~","~~"),"*","~*"),"?","~?"))</f>
        <v/>
      </c>
    </row>
    <row r="1776" customFormat="false" ht="15" hidden="false" customHeight="false" outlineLevel="0" collapsed="false">
      <c r="A1776" s="11"/>
      <c r="B1776" s="6"/>
      <c r="C1776" s="11"/>
      <c r="D1776" s="11"/>
      <c r="E1776" s="8" t="str">
        <f aca="false">IF($A1776="","",SUMIFS($C:$C,$A:$A,$H1776,$B:$B,"&gt;="&amp;INT($B1776),$B:$B,"&lt;"&amp;(INT($B1776)+1)))</f>
        <v/>
      </c>
      <c r="F1776" s="19" t="str">
        <f aca="false">IF($A1776="","",IF(ISNA(MATCH($H1776,Buffers!$AE:$AE,0)),"Not on Buffers",IF(NOT(ISNUMBER($B1776)),"Needs a date",IF(INT($B1776)&lt;PlanDate,"Past due",IF(INT($B1776)=PlanDate,"Due today",IF(AND(INDEX(Buffers!$L:$L,MATCH($H1776,Buffers!$AE:$AE,0))="Planned",$E1776&gt;0,INT($B1776)&lt;=PlanDate+ROUNDUP(IF(ISNUMBER(SpikeHorizon),SpikeHorizon,INDEX(Buffers!$D:$D,MATCH($H1776,Buffers!$AE:$AE,0))),0),$E1776&gt;=SpikePct*INDEX(Buffers!$P:$P,MATCH($H1776,Buffers!$AE:$AE,0))),"Spike","Not qualified"))))))</f>
        <v/>
      </c>
      <c r="G1776" s="8" t="str">
        <f aca="false">IF($A1776="","",IF(OR($F1776="Past due",$F1776="Due today",$F1776="Spike"),$C1776,0))</f>
        <v/>
      </c>
      <c r="H1776" s="8" t="str">
        <f aca="false">IF($A1776="","",SUBSTITUTE(SUBSTITUTE(SUBSTITUTE($A1776&amp;"","~","~~"),"*","~*"),"?","~?"))</f>
        <v/>
      </c>
    </row>
    <row r="1777" customFormat="false" ht="15" hidden="false" customHeight="false" outlineLevel="0" collapsed="false">
      <c r="A1777" s="11"/>
      <c r="B1777" s="6"/>
      <c r="C1777" s="11"/>
      <c r="D1777" s="11"/>
      <c r="E1777" s="8" t="str">
        <f aca="false">IF($A1777="","",SUMIFS($C:$C,$A:$A,$H1777,$B:$B,"&gt;="&amp;INT($B1777),$B:$B,"&lt;"&amp;(INT($B1777)+1)))</f>
        <v/>
      </c>
      <c r="F1777" s="19" t="str">
        <f aca="false">IF($A1777="","",IF(ISNA(MATCH($H1777,Buffers!$AE:$AE,0)),"Not on Buffers",IF(NOT(ISNUMBER($B1777)),"Needs a date",IF(INT($B1777)&lt;PlanDate,"Past due",IF(INT($B1777)=PlanDate,"Due today",IF(AND(INDEX(Buffers!$L:$L,MATCH($H1777,Buffers!$AE:$AE,0))="Planned",$E1777&gt;0,INT($B1777)&lt;=PlanDate+ROUNDUP(IF(ISNUMBER(SpikeHorizon),SpikeHorizon,INDEX(Buffers!$D:$D,MATCH($H1777,Buffers!$AE:$AE,0))),0),$E1777&gt;=SpikePct*INDEX(Buffers!$P:$P,MATCH($H1777,Buffers!$AE:$AE,0))),"Spike","Not qualified"))))))</f>
        <v/>
      </c>
      <c r="G1777" s="8" t="str">
        <f aca="false">IF($A1777="","",IF(OR($F1777="Past due",$F1777="Due today",$F1777="Spike"),$C1777,0))</f>
        <v/>
      </c>
      <c r="H1777" s="8" t="str">
        <f aca="false">IF($A1777="","",SUBSTITUTE(SUBSTITUTE(SUBSTITUTE($A1777&amp;"","~","~~"),"*","~*"),"?","~?"))</f>
        <v/>
      </c>
    </row>
    <row r="1778" customFormat="false" ht="15" hidden="false" customHeight="false" outlineLevel="0" collapsed="false">
      <c r="A1778" s="11"/>
      <c r="B1778" s="6"/>
      <c r="C1778" s="11"/>
      <c r="D1778" s="11"/>
      <c r="E1778" s="8" t="str">
        <f aca="false">IF($A1778="","",SUMIFS($C:$C,$A:$A,$H1778,$B:$B,"&gt;="&amp;INT($B1778),$B:$B,"&lt;"&amp;(INT($B1778)+1)))</f>
        <v/>
      </c>
      <c r="F1778" s="19" t="str">
        <f aca="false">IF($A1778="","",IF(ISNA(MATCH($H1778,Buffers!$AE:$AE,0)),"Not on Buffers",IF(NOT(ISNUMBER($B1778)),"Needs a date",IF(INT($B1778)&lt;PlanDate,"Past due",IF(INT($B1778)=PlanDate,"Due today",IF(AND(INDEX(Buffers!$L:$L,MATCH($H1778,Buffers!$AE:$AE,0))="Planned",$E1778&gt;0,INT($B1778)&lt;=PlanDate+ROUNDUP(IF(ISNUMBER(SpikeHorizon),SpikeHorizon,INDEX(Buffers!$D:$D,MATCH($H1778,Buffers!$AE:$AE,0))),0),$E1778&gt;=SpikePct*INDEX(Buffers!$P:$P,MATCH($H1778,Buffers!$AE:$AE,0))),"Spike","Not qualified"))))))</f>
        <v/>
      </c>
      <c r="G1778" s="8" t="str">
        <f aca="false">IF($A1778="","",IF(OR($F1778="Past due",$F1778="Due today",$F1778="Spike"),$C1778,0))</f>
        <v/>
      </c>
      <c r="H1778" s="8" t="str">
        <f aca="false">IF($A1778="","",SUBSTITUTE(SUBSTITUTE(SUBSTITUTE($A1778&amp;"","~","~~"),"*","~*"),"?","~?"))</f>
        <v/>
      </c>
    </row>
    <row r="1779" customFormat="false" ht="15" hidden="false" customHeight="false" outlineLevel="0" collapsed="false">
      <c r="A1779" s="11"/>
      <c r="B1779" s="6"/>
      <c r="C1779" s="11"/>
      <c r="D1779" s="11"/>
      <c r="E1779" s="8" t="str">
        <f aca="false">IF($A1779="","",SUMIFS($C:$C,$A:$A,$H1779,$B:$B,"&gt;="&amp;INT($B1779),$B:$B,"&lt;"&amp;(INT($B1779)+1)))</f>
        <v/>
      </c>
      <c r="F1779" s="19" t="str">
        <f aca="false">IF($A1779="","",IF(ISNA(MATCH($H1779,Buffers!$AE:$AE,0)),"Not on Buffers",IF(NOT(ISNUMBER($B1779)),"Needs a date",IF(INT($B1779)&lt;PlanDate,"Past due",IF(INT($B1779)=PlanDate,"Due today",IF(AND(INDEX(Buffers!$L:$L,MATCH($H1779,Buffers!$AE:$AE,0))="Planned",$E1779&gt;0,INT($B1779)&lt;=PlanDate+ROUNDUP(IF(ISNUMBER(SpikeHorizon),SpikeHorizon,INDEX(Buffers!$D:$D,MATCH($H1779,Buffers!$AE:$AE,0))),0),$E1779&gt;=SpikePct*INDEX(Buffers!$P:$P,MATCH($H1779,Buffers!$AE:$AE,0))),"Spike","Not qualified"))))))</f>
        <v/>
      </c>
      <c r="G1779" s="8" t="str">
        <f aca="false">IF($A1779="","",IF(OR($F1779="Past due",$F1779="Due today",$F1779="Spike"),$C1779,0))</f>
        <v/>
      </c>
      <c r="H1779" s="8" t="str">
        <f aca="false">IF($A1779="","",SUBSTITUTE(SUBSTITUTE(SUBSTITUTE($A1779&amp;"","~","~~"),"*","~*"),"?","~?"))</f>
        <v/>
      </c>
    </row>
    <row r="1780" customFormat="false" ht="15" hidden="false" customHeight="false" outlineLevel="0" collapsed="false">
      <c r="A1780" s="11"/>
      <c r="B1780" s="6"/>
      <c r="C1780" s="11"/>
      <c r="D1780" s="11"/>
      <c r="E1780" s="8" t="str">
        <f aca="false">IF($A1780="","",SUMIFS($C:$C,$A:$A,$H1780,$B:$B,"&gt;="&amp;INT($B1780),$B:$B,"&lt;"&amp;(INT($B1780)+1)))</f>
        <v/>
      </c>
      <c r="F1780" s="19" t="str">
        <f aca="false">IF($A1780="","",IF(ISNA(MATCH($H1780,Buffers!$AE:$AE,0)),"Not on Buffers",IF(NOT(ISNUMBER($B1780)),"Needs a date",IF(INT($B1780)&lt;PlanDate,"Past due",IF(INT($B1780)=PlanDate,"Due today",IF(AND(INDEX(Buffers!$L:$L,MATCH($H1780,Buffers!$AE:$AE,0))="Planned",$E1780&gt;0,INT($B1780)&lt;=PlanDate+ROUNDUP(IF(ISNUMBER(SpikeHorizon),SpikeHorizon,INDEX(Buffers!$D:$D,MATCH($H1780,Buffers!$AE:$AE,0))),0),$E1780&gt;=SpikePct*INDEX(Buffers!$P:$P,MATCH($H1780,Buffers!$AE:$AE,0))),"Spike","Not qualified"))))))</f>
        <v/>
      </c>
      <c r="G1780" s="8" t="str">
        <f aca="false">IF($A1780="","",IF(OR($F1780="Past due",$F1780="Due today",$F1780="Spike"),$C1780,0))</f>
        <v/>
      </c>
      <c r="H1780" s="8" t="str">
        <f aca="false">IF($A1780="","",SUBSTITUTE(SUBSTITUTE(SUBSTITUTE($A1780&amp;"","~","~~"),"*","~*"),"?","~?"))</f>
        <v/>
      </c>
    </row>
    <row r="1781" customFormat="false" ht="15" hidden="false" customHeight="false" outlineLevel="0" collapsed="false">
      <c r="A1781" s="11"/>
      <c r="B1781" s="6"/>
      <c r="C1781" s="11"/>
      <c r="D1781" s="11"/>
      <c r="E1781" s="8" t="str">
        <f aca="false">IF($A1781="","",SUMIFS($C:$C,$A:$A,$H1781,$B:$B,"&gt;="&amp;INT($B1781),$B:$B,"&lt;"&amp;(INT($B1781)+1)))</f>
        <v/>
      </c>
      <c r="F1781" s="19" t="str">
        <f aca="false">IF($A1781="","",IF(ISNA(MATCH($H1781,Buffers!$AE:$AE,0)),"Not on Buffers",IF(NOT(ISNUMBER($B1781)),"Needs a date",IF(INT($B1781)&lt;PlanDate,"Past due",IF(INT($B1781)=PlanDate,"Due today",IF(AND(INDEX(Buffers!$L:$L,MATCH($H1781,Buffers!$AE:$AE,0))="Planned",$E1781&gt;0,INT($B1781)&lt;=PlanDate+ROUNDUP(IF(ISNUMBER(SpikeHorizon),SpikeHorizon,INDEX(Buffers!$D:$D,MATCH($H1781,Buffers!$AE:$AE,0))),0),$E1781&gt;=SpikePct*INDEX(Buffers!$P:$P,MATCH($H1781,Buffers!$AE:$AE,0))),"Spike","Not qualified"))))))</f>
        <v/>
      </c>
      <c r="G1781" s="8" t="str">
        <f aca="false">IF($A1781="","",IF(OR($F1781="Past due",$F1781="Due today",$F1781="Spike"),$C1781,0))</f>
        <v/>
      </c>
      <c r="H1781" s="8" t="str">
        <f aca="false">IF($A1781="","",SUBSTITUTE(SUBSTITUTE(SUBSTITUTE($A1781&amp;"","~","~~"),"*","~*"),"?","~?"))</f>
        <v/>
      </c>
    </row>
    <row r="1782" customFormat="false" ht="15" hidden="false" customHeight="false" outlineLevel="0" collapsed="false">
      <c r="A1782" s="11"/>
      <c r="B1782" s="6"/>
      <c r="C1782" s="11"/>
      <c r="D1782" s="11"/>
      <c r="E1782" s="8" t="str">
        <f aca="false">IF($A1782="","",SUMIFS($C:$C,$A:$A,$H1782,$B:$B,"&gt;="&amp;INT($B1782),$B:$B,"&lt;"&amp;(INT($B1782)+1)))</f>
        <v/>
      </c>
      <c r="F1782" s="19" t="str">
        <f aca="false">IF($A1782="","",IF(ISNA(MATCH($H1782,Buffers!$AE:$AE,0)),"Not on Buffers",IF(NOT(ISNUMBER($B1782)),"Needs a date",IF(INT($B1782)&lt;PlanDate,"Past due",IF(INT($B1782)=PlanDate,"Due today",IF(AND(INDEX(Buffers!$L:$L,MATCH($H1782,Buffers!$AE:$AE,0))="Planned",$E1782&gt;0,INT($B1782)&lt;=PlanDate+ROUNDUP(IF(ISNUMBER(SpikeHorizon),SpikeHorizon,INDEX(Buffers!$D:$D,MATCH($H1782,Buffers!$AE:$AE,0))),0),$E1782&gt;=SpikePct*INDEX(Buffers!$P:$P,MATCH($H1782,Buffers!$AE:$AE,0))),"Spike","Not qualified"))))))</f>
        <v/>
      </c>
      <c r="G1782" s="8" t="str">
        <f aca="false">IF($A1782="","",IF(OR($F1782="Past due",$F1782="Due today",$F1782="Spike"),$C1782,0))</f>
        <v/>
      </c>
      <c r="H1782" s="8" t="str">
        <f aca="false">IF($A1782="","",SUBSTITUTE(SUBSTITUTE(SUBSTITUTE($A1782&amp;"","~","~~"),"*","~*"),"?","~?"))</f>
        <v/>
      </c>
    </row>
    <row r="1783" customFormat="false" ht="15" hidden="false" customHeight="false" outlineLevel="0" collapsed="false">
      <c r="A1783" s="11"/>
      <c r="B1783" s="6"/>
      <c r="C1783" s="11"/>
      <c r="D1783" s="11"/>
      <c r="E1783" s="8" t="str">
        <f aca="false">IF($A1783="","",SUMIFS($C:$C,$A:$A,$H1783,$B:$B,"&gt;="&amp;INT($B1783),$B:$B,"&lt;"&amp;(INT($B1783)+1)))</f>
        <v/>
      </c>
      <c r="F1783" s="19" t="str">
        <f aca="false">IF($A1783="","",IF(ISNA(MATCH($H1783,Buffers!$AE:$AE,0)),"Not on Buffers",IF(NOT(ISNUMBER($B1783)),"Needs a date",IF(INT($B1783)&lt;PlanDate,"Past due",IF(INT($B1783)=PlanDate,"Due today",IF(AND(INDEX(Buffers!$L:$L,MATCH($H1783,Buffers!$AE:$AE,0))="Planned",$E1783&gt;0,INT($B1783)&lt;=PlanDate+ROUNDUP(IF(ISNUMBER(SpikeHorizon),SpikeHorizon,INDEX(Buffers!$D:$D,MATCH($H1783,Buffers!$AE:$AE,0))),0),$E1783&gt;=SpikePct*INDEX(Buffers!$P:$P,MATCH($H1783,Buffers!$AE:$AE,0))),"Spike","Not qualified"))))))</f>
        <v/>
      </c>
      <c r="G1783" s="8" t="str">
        <f aca="false">IF($A1783="","",IF(OR($F1783="Past due",$F1783="Due today",$F1783="Spike"),$C1783,0))</f>
        <v/>
      </c>
      <c r="H1783" s="8" t="str">
        <f aca="false">IF($A1783="","",SUBSTITUTE(SUBSTITUTE(SUBSTITUTE($A1783&amp;"","~","~~"),"*","~*"),"?","~?"))</f>
        <v/>
      </c>
    </row>
    <row r="1784" customFormat="false" ht="15" hidden="false" customHeight="false" outlineLevel="0" collapsed="false">
      <c r="A1784" s="11"/>
      <c r="B1784" s="6"/>
      <c r="C1784" s="11"/>
      <c r="D1784" s="11"/>
      <c r="E1784" s="8" t="str">
        <f aca="false">IF($A1784="","",SUMIFS($C:$C,$A:$A,$H1784,$B:$B,"&gt;="&amp;INT($B1784),$B:$B,"&lt;"&amp;(INT($B1784)+1)))</f>
        <v/>
      </c>
      <c r="F1784" s="19" t="str">
        <f aca="false">IF($A1784="","",IF(ISNA(MATCH($H1784,Buffers!$AE:$AE,0)),"Not on Buffers",IF(NOT(ISNUMBER($B1784)),"Needs a date",IF(INT($B1784)&lt;PlanDate,"Past due",IF(INT($B1784)=PlanDate,"Due today",IF(AND(INDEX(Buffers!$L:$L,MATCH($H1784,Buffers!$AE:$AE,0))="Planned",$E1784&gt;0,INT($B1784)&lt;=PlanDate+ROUNDUP(IF(ISNUMBER(SpikeHorizon),SpikeHorizon,INDEX(Buffers!$D:$D,MATCH($H1784,Buffers!$AE:$AE,0))),0),$E1784&gt;=SpikePct*INDEX(Buffers!$P:$P,MATCH($H1784,Buffers!$AE:$AE,0))),"Spike","Not qualified"))))))</f>
        <v/>
      </c>
      <c r="G1784" s="8" t="str">
        <f aca="false">IF($A1784="","",IF(OR($F1784="Past due",$F1784="Due today",$F1784="Spike"),$C1784,0))</f>
        <v/>
      </c>
      <c r="H1784" s="8" t="str">
        <f aca="false">IF($A1784="","",SUBSTITUTE(SUBSTITUTE(SUBSTITUTE($A1784&amp;"","~","~~"),"*","~*"),"?","~?"))</f>
        <v/>
      </c>
    </row>
    <row r="1785" customFormat="false" ht="15" hidden="false" customHeight="false" outlineLevel="0" collapsed="false">
      <c r="A1785" s="11"/>
      <c r="B1785" s="6"/>
      <c r="C1785" s="11"/>
      <c r="D1785" s="11"/>
      <c r="E1785" s="8" t="str">
        <f aca="false">IF($A1785="","",SUMIFS($C:$C,$A:$A,$H1785,$B:$B,"&gt;="&amp;INT($B1785),$B:$B,"&lt;"&amp;(INT($B1785)+1)))</f>
        <v/>
      </c>
      <c r="F1785" s="19" t="str">
        <f aca="false">IF($A1785="","",IF(ISNA(MATCH($H1785,Buffers!$AE:$AE,0)),"Not on Buffers",IF(NOT(ISNUMBER($B1785)),"Needs a date",IF(INT($B1785)&lt;PlanDate,"Past due",IF(INT($B1785)=PlanDate,"Due today",IF(AND(INDEX(Buffers!$L:$L,MATCH($H1785,Buffers!$AE:$AE,0))="Planned",$E1785&gt;0,INT($B1785)&lt;=PlanDate+ROUNDUP(IF(ISNUMBER(SpikeHorizon),SpikeHorizon,INDEX(Buffers!$D:$D,MATCH($H1785,Buffers!$AE:$AE,0))),0),$E1785&gt;=SpikePct*INDEX(Buffers!$P:$P,MATCH($H1785,Buffers!$AE:$AE,0))),"Spike","Not qualified"))))))</f>
        <v/>
      </c>
      <c r="G1785" s="8" t="str">
        <f aca="false">IF($A1785="","",IF(OR($F1785="Past due",$F1785="Due today",$F1785="Spike"),$C1785,0))</f>
        <v/>
      </c>
      <c r="H1785" s="8" t="str">
        <f aca="false">IF($A1785="","",SUBSTITUTE(SUBSTITUTE(SUBSTITUTE($A1785&amp;"","~","~~"),"*","~*"),"?","~?"))</f>
        <v/>
      </c>
    </row>
    <row r="1786" customFormat="false" ht="15" hidden="false" customHeight="false" outlineLevel="0" collapsed="false">
      <c r="A1786" s="11"/>
      <c r="B1786" s="6"/>
      <c r="C1786" s="11"/>
      <c r="D1786" s="11"/>
      <c r="E1786" s="8" t="str">
        <f aca="false">IF($A1786="","",SUMIFS($C:$C,$A:$A,$H1786,$B:$B,"&gt;="&amp;INT($B1786),$B:$B,"&lt;"&amp;(INT($B1786)+1)))</f>
        <v/>
      </c>
      <c r="F1786" s="19" t="str">
        <f aca="false">IF($A1786="","",IF(ISNA(MATCH($H1786,Buffers!$AE:$AE,0)),"Not on Buffers",IF(NOT(ISNUMBER($B1786)),"Needs a date",IF(INT($B1786)&lt;PlanDate,"Past due",IF(INT($B1786)=PlanDate,"Due today",IF(AND(INDEX(Buffers!$L:$L,MATCH($H1786,Buffers!$AE:$AE,0))="Planned",$E1786&gt;0,INT($B1786)&lt;=PlanDate+ROUNDUP(IF(ISNUMBER(SpikeHorizon),SpikeHorizon,INDEX(Buffers!$D:$D,MATCH($H1786,Buffers!$AE:$AE,0))),0),$E1786&gt;=SpikePct*INDEX(Buffers!$P:$P,MATCH($H1786,Buffers!$AE:$AE,0))),"Spike","Not qualified"))))))</f>
        <v/>
      </c>
      <c r="G1786" s="8" t="str">
        <f aca="false">IF($A1786="","",IF(OR($F1786="Past due",$F1786="Due today",$F1786="Spike"),$C1786,0))</f>
        <v/>
      </c>
      <c r="H1786" s="8" t="str">
        <f aca="false">IF($A1786="","",SUBSTITUTE(SUBSTITUTE(SUBSTITUTE($A1786&amp;"","~","~~"),"*","~*"),"?","~?"))</f>
        <v/>
      </c>
    </row>
    <row r="1787" customFormat="false" ht="15" hidden="false" customHeight="false" outlineLevel="0" collapsed="false">
      <c r="A1787" s="11"/>
      <c r="B1787" s="6"/>
      <c r="C1787" s="11"/>
      <c r="D1787" s="11"/>
      <c r="E1787" s="8" t="str">
        <f aca="false">IF($A1787="","",SUMIFS($C:$C,$A:$A,$H1787,$B:$B,"&gt;="&amp;INT($B1787),$B:$B,"&lt;"&amp;(INT($B1787)+1)))</f>
        <v/>
      </c>
      <c r="F1787" s="19" t="str">
        <f aca="false">IF($A1787="","",IF(ISNA(MATCH($H1787,Buffers!$AE:$AE,0)),"Not on Buffers",IF(NOT(ISNUMBER($B1787)),"Needs a date",IF(INT($B1787)&lt;PlanDate,"Past due",IF(INT($B1787)=PlanDate,"Due today",IF(AND(INDEX(Buffers!$L:$L,MATCH($H1787,Buffers!$AE:$AE,0))="Planned",$E1787&gt;0,INT($B1787)&lt;=PlanDate+ROUNDUP(IF(ISNUMBER(SpikeHorizon),SpikeHorizon,INDEX(Buffers!$D:$D,MATCH($H1787,Buffers!$AE:$AE,0))),0),$E1787&gt;=SpikePct*INDEX(Buffers!$P:$P,MATCH($H1787,Buffers!$AE:$AE,0))),"Spike","Not qualified"))))))</f>
        <v/>
      </c>
      <c r="G1787" s="8" t="str">
        <f aca="false">IF($A1787="","",IF(OR($F1787="Past due",$F1787="Due today",$F1787="Spike"),$C1787,0))</f>
        <v/>
      </c>
      <c r="H1787" s="8" t="str">
        <f aca="false">IF($A1787="","",SUBSTITUTE(SUBSTITUTE(SUBSTITUTE($A1787&amp;"","~","~~"),"*","~*"),"?","~?"))</f>
        <v/>
      </c>
    </row>
    <row r="1788" customFormat="false" ht="15" hidden="false" customHeight="false" outlineLevel="0" collapsed="false">
      <c r="A1788" s="11"/>
      <c r="B1788" s="6"/>
      <c r="C1788" s="11"/>
      <c r="D1788" s="11"/>
      <c r="E1788" s="8" t="str">
        <f aca="false">IF($A1788="","",SUMIFS($C:$C,$A:$A,$H1788,$B:$B,"&gt;="&amp;INT($B1788),$B:$B,"&lt;"&amp;(INT($B1788)+1)))</f>
        <v/>
      </c>
      <c r="F1788" s="19" t="str">
        <f aca="false">IF($A1788="","",IF(ISNA(MATCH($H1788,Buffers!$AE:$AE,0)),"Not on Buffers",IF(NOT(ISNUMBER($B1788)),"Needs a date",IF(INT($B1788)&lt;PlanDate,"Past due",IF(INT($B1788)=PlanDate,"Due today",IF(AND(INDEX(Buffers!$L:$L,MATCH($H1788,Buffers!$AE:$AE,0))="Planned",$E1788&gt;0,INT($B1788)&lt;=PlanDate+ROUNDUP(IF(ISNUMBER(SpikeHorizon),SpikeHorizon,INDEX(Buffers!$D:$D,MATCH($H1788,Buffers!$AE:$AE,0))),0),$E1788&gt;=SpikePct*INDEX(Buffers!$P:$P,MATCH($H1788,Buffers!$AE:$AE,0))),"Spike","Not qualified"))))))</f>
        <v/>
      </c>
      <c r="G1788" s="8" t="str">
        <f aca="false">IF($A1788="","",IF(OR($F1788="Past due",$F1788="Due today",$F1788="Spike"),$C1788,0))</f>
        <v/>
      </c>
      <c r="H1788" s="8" t="str">
        <f aca="false">IF($A1788="","",SUBSTITUTE(SUBSTITUTE(SUBSTITUTE($A1788&amp;"","~","~~"),"*","~*"),"?","~?"))</f>
        <v/>
      </c>
    </row>
    <row r="1789" customFormat="false" ht="15" hidden="false" customHeight="false" outlineLevel="0" collapsed="false">
      <c r="A1789" s="11"/>
      <c r="B1789" s="6"/>
      <c r="C1789" s="11"/>
      <c r="D1789" s="11"/>
      <c r="E1789" s="8" t="str">
        <f aca="false">IF($A1789="","",SUMIFS($C:$C,$A:$A,$H1789,$B:$B,"&gt;="&amp;INT($B1789),$B:$B,"&lt;"&amp;(INT($B1789)+1)))</f>
        <v/>
      </c>
      <c r="F1789" s="19" t="str">
        <f aca="false">IF($A1789="","",IF(ISNA(MATCH($H1789,Buffers!$AE:$AE,0)),"Not on Buffers",IF(NOT(ISNUMBER($B1789)),"Needs a date",IF(INT($B1789)&lt;PlanDate,"Past due",IF(INT($B1789)=PlanDate,"Due today",IF(AND(INDEX(Buffers!$L:$L,MATCH($H1789,Buffers!$AE:$AE,0))="Planned",$E1789&gt;0,INT($B1789)&lt;=PlanDate+ROUNDUP(IF(ISNUMBER(SpikeHorizon),SpikeHorizon,INDEX(Buffers!$D:$D,MATCH($H1789,Buffers!$AE:$AE,0))),0),$E1789&gt;=SpikePct*INDEX(Buffers!$P:$P,MATCH($H1789,Buffers!$AE:$AE,0))),"Spike","Not qualified"))))))</f>
        <v/>
      </c>
      <c r="G1789" s="8" t="str">
        <f aca="false">IF($A1789="","",IF(OR($F1789="Past due",$F1789="Due today",$F1789="Spike"),$C1789,0))</f>
        <v/>
      </c>
      <c r="H1789" s="8" t="str">
        <f aca="false">IF($A1789="","",SUBSTITUTE(SUBSTITUTE(SUBSTITUTE($A1789&amp;"","~","~~"),"*","~*"),"?","~?"))</f>
        <v/>
      </c>
    </row>
    <row r="1790" customFormat="false" ht="15" hidden="false" customHeight="false" outlineLevel="0" collapsed="false">
      <c r="A1790" s="11"/>
      <c r="B1790" s="6"/>
      <c r="C1790" s="11"/>
      <c r="D1790" s="11"/>
      <c r="E1790" s="8" t="str">
        <f aca="false">IF($A1790="","",SUMIFS($C:$C,$A:$A,$H1790,$B:$B,"&gt;="&amp;INT($B1790),$B:$B,"&lt;"&amp;(INT($B1790)+1)))</f>
        <v/>
      </c>
      <c r="F1790" s="19" t="str">
        <f aca="false">IF($A1790="","",IF(ISNA(MATCH($H1790,Buffers!$AE:$AE,0)),"Not on Buffers",IF(NOT(ISNUMBER($B1790)),"Needs a date",IF(INT($B1790)&lt;PlanDate,"Past due",IF(INT($B1790)=PlanDate,"Due today",IF(AND(INDEX(Buffers!$L:$L,MATCH($H1790,Buffers!$AE:$AE,0))="Planned",$E1790&gt;0,INT($B1790)&lt;=PlanDate+ROUNDUP(IF(ISNUMBER(SpikeHorizon),SpikeHorizon,INDEX(Buffers!$D:$D,MATCH($H1790,Buffers!$AE:$AE,0))),0),$E1790&gt;=SpikePct*INDEX(Buffers!$P:$P,MATCH($H1790,Buffers!$AE:$AE,0))),"Spike","Not qualified"))))))</f>
        <v/>
      </c>
      <c r="G1790" s="8" t="str">
        <f aca="false">IF($A1790="","",IF(OR($F1790="Past due",$F1790="Due today",$F1790="Spike"),$C1790,0))</f>
        <v/>
      </c>
      <c r="H1790" s="8" t="str">
        <f aca="false">IF($A1790="","",SUBSTITUTE(SUBSTITUTE(SUBSTITUTE($A1790&amp;"","~","~~"),"*","~*"),"?","~?"))</f>
        <v/>
      </c>
    </row>
    <row r="1791" customFormat="false" ht="15" hidden="false" customHeight="false" outlineLevel="0" collapsed="false">
      <c r="A1791" s="11"/>
      <c r="B1791" s="6"/>
      <c r="C1791" s="11"/>
      <c r="D1791" s="11"/>
      <c r="E1791" s="8" t="str">
        <f aca="false">IF($A1791="","",SUMIFS($C:$C,$A:$A,$H1791,$B:$B,"&gt;="&amp;INT($B1791),$B:$B,"&lt;"&amp;(INT($B1791)+1)))</f>
        <v/>
      </c>
      <c r="F1791" s="19" t="str">
        <f aca="false">IF($A1791="","",IF(ISNA(MATCH($H1791,Buffers!$AE:$AE,0)),"Not on Buffers",IF(NOT(ISNUMBER($B1791)),"Needs a date",IF(INT($B1791)&lt;PlanDate,"Past due",IF(INT($B1791)=PlanDate,"Due today",IF(AND(INDEX(Buffers!$L:$L,MATCH($H1791,Buffers!$AE:$AE,0))="Planned",$E1791&gt;0,INT($B1791)&lt;=PlanDate+ROUNDUP(IF(ISNUMBER(SpikeHorizon),SpikeHorizon,INDEX(Buffers!$D:$D,MATCH($H1791,Buffers!$AE:$AE,0))),0),$E1791&gt;=SpikePct*INDEX(Buffers!$P:$P,MATCH($H1791,Buffers!$AE:$AE,0))),"Spike","Not qualified"))))))</f>
        <v/>
      </c>
      <c r="G1791" s="8" t="str">
        <f aca="false">IF($A1791="","",IF(OR($F1791="Past due",$F1791="Due today",$F1791="Spike"),$C1791,0))</f>
        <v/>
      </c>
      <c r="H1791" s="8" t="str">
        <f aca="false">IF($A1791="","",SUBSTITUTE(SUBSTITUTE(SUBSTITUTE($A1791&amp;"","~","~~"),"*","~*"),"?","~?"))</f>
        <v/>
      </c>
    </row>
    <row r="1792" customFormat="false" ht="15" hidden="false" customHeight="false" outlineLevel="0" collapsed="false">
      <c r="A1792" s="11"/>
      <c r="B1792" s="6"/>
      <c r="C1792" s="11"/>
      <c r="D1792" s="11"/>
      <c r="E1792" s="8" t="str">
        <f aca="false">IF($A1792="","",SUMIFS($C:$C,$A:$A,$H1792,$B:$B,"&gt;="&amp;INT($B1792),$B:$B,"&lt;"&amp;(INT($B1792)+1)))</f>
        <v/>
      </c>
      <c r="F1792" s="19" t="str">
        <f aca="false">IF($A1792="","",IF(ISNA(MATCH($H1792,Buffers!$AE:$AE,0)),"Not on Buffers",IF(NOT(ISNUMBER($B1792)),"Needs a date",IF(INT($B1792)&lt;PlanDate,"Past due",IF(INT($B1792)=PlanDate,"Due today",IF(AND(INDEX(Buffers!$L:$L,MATCH($H1792,Buffers!$AE:$AE,0))="Planned",$E1792&gt;0,INT($B1792)&lt;=PlanDate+ROUNDUP(IF(ISNUMBER(SpikeHorizon),SpikeHorizon,INDEX(Buffers!$D:$D,MATCH($H1792,Buffers!$AE:$AE,0))),0),$E1792&gt;=SpikePct*INDEX(Buffers!$P:$P,MATCH($H1792,Buffers!$AE:$AE,0))),"Spike","Not qualified"))))))</f>
        <v/>
      </c>
      <c r="G1792" s="8" t="str">
        <f aca="false">IF($A1792="","",IF(OR($F1792="Past due",$F1792="Due today",$F1792="Spike"),$C1792,0))</f>
        <v/>
      </c>
      <c r="H1792" s="8" t="str">
        <f aca="false">IF($A1792="","",SUBSTITUTE(SUBSTITUTE(SUBSTITUTE($A1792&amp;"","~","~~"),"*","~*"),"?","~?"))</f>
        <v/>
      </c>
    </row>
    <row r="1793" customFormat="false" ht="15" hidden="false" customHeight="false" outlineLevel="0" collapsed="false">
      <c r="A1793" s="11"/>
      <c r="B1793" s="6"/>
      <c r="C1793" s="11"/>
      <c r="D1793" s="11"/>
      <c r="E1793" s="8" t="str">
        <f aca="false">IF($A1793="","",SUMIFS($C:$C,$A:$A,$H1793,$B:$B,"&gt;="&amp;INT($B1793),$B:$B,"&lt;"&amp;(INT($B1793)+1)))</f>
        <v/>
      </c>
      <c r="F1793" s="19" t="str">
        <f aca="false">IF($A1793="","",IF(ISNA(MATCH($H1793,Buffers!$AE:$AE,0)),"Not on Buffers",IF(NOT(ISNUMBER($B1793)),"Needs a date",IF(INT($B1793)&lt;PlanDate,"Past due",IF(INT($B1793)=PlanDate,"Due today",IF(AND(INDEX(Buffers!$L:$L,MATCH($H1793,Buffers!$AE:$AE,0))="Planned",$E1793&gt;0,INT($B1793)&lt;=PlanDate+ROUNDUP(IF(ISNUMBER(SpikeHorizon),SpikeHorizon,INDEX(Buffers!$D:$D,MATCH($H1793,Buffers!$AE:$AE,0))),0),$E1793&gt;=SpikePct*INDEX(Buffers!$P:$P,MATCH($H1793,Buffers!$AE:$AE,0))),"Spike","Not qualified"))))))</f>
        <v/>
      </c>
      <c r="G1793" s="8" t="str">
        <f aca="false">IF($A1793="","",IF(OR($F1793="Past due",$F1793="Due today",$F1793="Spike"),$C1793,0))</f>
        <v/>
      </c>
      <c r="H1793" s="8" t="str">
        <f aca="false">IF($A1793="","",SUBSTITUTE(SUBSTITUTE(SUBSTITUTE($A1793&amp;"","~","~~"),"*","~*"),"?","~?"))</f>
        <v/>
      </c>
    </row>
    <row r="1794" customFormat="false" ht="15" hidden="false" customHeight="false" outlineLevel="0" collapsed="false">
      <c r="A1794" s="11"/>
      <c r="B1794" s="6"/>
      <c r="C1794" s="11"/>
      <c r="D1794" s="11"/>
      <c r="E1794" s="8" t="str">
        <f aca="false">IF($A1794="","",SUMIFS($C:$C,$A:$A,$H1794,$B:$B,"&gt;="&amp;INT($B1794),$B:$B,"&lt;"&amp;(INT($B1794)+1)))</f>
        <v/>
      </c>
      <c r="F1794" s="19" t="str">
        <f aca="false">IF($A1794="","",IF(ISNA(MATCH($H1794,Buffers!$AE:$AE,0)),"Not on Buffers",IF(NOT(ISNUMBER($B1794)),"Needs a date",IF(INT($B1794)&lt;PlanDate,"Past due",IF(INT($B1794)=PlanDate,"Due today",IF(AND(INDEX(Buffers!$L:$L,MATCH($H1794,Buffers!$AE:$AE,0))="Planned",$E1794&gt;0,INT($B1794)&lt;=PlanDate+ROUNDUP(IF(ISNUMBER(SpikeHorizon),SpikeHorizon,INDEX(Buffers!$D:$D,MATCH($H1794,Buffers!$AE:$AE,0))),0),$E1794&gt;=SpikePct*INDEX(Buffers!$P:$P,MATCH($H1794,Buffers!$AE:$AE,0))),"Spike","Not qualified"))))))</f>
        <v/>
      </c>
      <c r="G1794" s="8" t="str">
        <f aca="false">IF($A1794="","",IF(OR($F1794="Past due",$F1794="Due today",$F1794="Spike"),$C1794,0))</f>
        <v/>
      </c>
      <c r="H1794" s="8" t="str">
        <f aca="false">IF($A1794="","",SUBSTITUTE(SUBSTITUTE(SUBSTITUTE($A1794&amp;"","~","~~"),"*","~*"),"?","~?"))</f>
        <v/>
      </c>
    </row>
    <row r="1795" customFormat="false" ht="15" hidden="false" customHeight="false" outlineLevel="0" collapsed="false">
      <c r="A1795" s="11"/>
      <c r="B1795" s="6"/>
      <c r="C1795" s="11"/>
      <c r="D1795" s="11"/>
      <c r="E1795" s="8" t="str">
        <f aca="false">IF($A1795="","",SUMIFS($C:$C,$A:$A,$H1795,$B:$B,"&gt;="&amp;INT($B1795),$B:$B,"&lt;"&amp;(INT($B1795)+1)))</f>
        <v/>
      </c>
      <c r="F1795" s="19" t="str">
        <f aca="false">IF($A1795="","",IF(ISNA(MATCH($H1795,Buffers!$AE:$AE,0)),"Not on Buffers",IF(NOT(ISNUMBER($B1795)),"Needs a date",IF(INT($B1795)&lt;PlanDate,"Past due",IF(INT($B1795)=PlanDate,"Due today",IF(AND(INDEX(Buffers!$L:$L,MATCH($H1795,Buffers!$AE:$AE,0))="Planned",$E1795&gt;0,INT($B1795)&lt;=PlanDate+ROUNDUP(IF(ISNUMBER(SpikeHorizon),SpikeHorizon,INDEX(Buffers!$D:$D,MATCH($H1795,Buffers!$AE:$AE,0))),0),$E1795&gt;=SpikePct*INDEX(Buffers!$P:$P,MATCH($H1795,Buffers!$AE:$AE,0))),"Spike","Not qualified"))))))</f>
        <v/>
      </c>
      <c r="G1795" s="8" t="str">
        <f aca="false">IF($A1795="","",IF(OR($F1795="Past due",$F1795="Due today",$F1795="Spike"),$C1795,0))</f>
        <v/>
      </c>
      <c r="H1795" s="8" t="str">
        <f aca="false">IF($A1795="","",SUBSTITUTE(SUBSTITUTE(SUBSTITUTE($A1795&amp;"","~","~~"),"*","~*"),"?","~?"))</f>
        <v/>
      </c>
    </row>
    <row r="1796" customFormat="false" ht="15" hidden="false" customHeight="false" outlineLevel="0" collapsed="false">
      <c r="A1796" s="11"/>
      <c r="B1796" s="6"/>
      <c r="C1796" s="11"/>
      <c r="D1796" s="11"/>
      <c r="E1796" s="8" t="str">
        <f aca="false">IF($A1796="","",SUMIFS($C:$C,$A:$A,$H1796,$B:$B,"&gt;="&amp;INT($B1796),$B:$B,"&lt;"&amp;(INT($B1796)+1)))</f>
        <v/>
      </c>
      <c r="F1796" s="19" t="str">
        <f aca="false">IF($A1796="","",IF(ISNA(MATCH($H1796,Buffers!$AE:$AE,0)),"Not on Buffers",IF(NOT(ISNUMBER($B1796)),"Needs a date",IF(INT($B1796)&lt;PlanDate,"Past due",IF(INT($B1796)=PlanDate,"Due today",IF(AND(INDEX(Buffers!$L:$L,MATCH($H1796,Buffers!$AE:$AE,0))="Planned",$E1796&gt;0,INT($B1796)&lt;=PlanDate+ROUNDUP(IF(ISNUMBER(SpikeHorizon),SpikeHorizon,INDEX(Buffers!$D:$D,MATCH($H1796,Buffers!$AE:$AE,0))),0),$E1796&gt;=SpikePct*INDEX(Buffers!$P:$P,MATCH($H1796,Buffers!$AE:$AE,0))),"Spike","Not qualified"))))))</f>
        <v/>
      </c>
      <c r="G1796" s="8" t="str">
        <f aca="false">IF($A1796="","",IF(OR($F1796="Past due",$F1796="Due today",$F1796="Spike"),$C1796,0))</f>
        <v/>
      </c>
      <c r="H1796" s="8" t="str">
        <f aca="false">IF($A1796="","",SUBSTITUTE(SUBSTITUTE(SUBSTITUTE($A1796&amp;"","~","~~"),"*","~*"),"?","~?"))</f>
        <v/>
      </c>
    </row>
    <row r="1797" customFormat="false" ht="15" hidden="false" customHeight="false" outlineLevel="0" collapsed="false">
      <c r="A1797" s="11"/>
      <c r="B1797" s="6"/>
      <c r="C1797" s="11"/>
      <c r="D1797" s="11"/>
      <c r="E1797" s="8" t="str">
        <f aca="false">IF($A1797="","",SUMIFS($C:$C,$A:$A,$H1797,$B:$B,"&gt;="&amp;INT($B1797),$B:$B,"&lt;"&amp;(INT($B1797)+1)))</f>
        <v/>
      </c>
      <c r="F1797" s="19" t="str">
        <f aca="false">IF($A1797="","",IF(ISNA(MATCH($H1797,Buffers!$AE:$AE,0)),"Not on Buffers",IF(NOT(ISNUMBER($B1797)),"Needs a date",IF(INT($B1797)&lt;PlanDate,"Past due",IF(INT($B1797)=PlanDate,"Due today",IF(AND(INDEX(Buffers!$L:$L,MATCH($H1797,Buffers!$AE:$AE,0))="Planned",$E1797&gt;0,INT($B1797)&lt;=PlanDate+ROUNDUP(IF(ISNUMBER(SpikeHorizon),SpikeHorizon,INDEX(Buffers!$D:$D,MATCH($H1797,Buffers!$AE:$AE,0))),0),$E1797&gt;=SpikePct*INDEX(Buffers!$P:$P,MATCH($H1797,Buffers!$AE:$AE,0))),"Spike","Not qualified"))))))</f>
        <v/>
      </c>
      <c r="G1797" s="8" t="str">
        <f aca="false">IF($A1797="","",IF(OR($F1797="Past due",$F1797="Due today",$F1797="Spike"),$C1797,0))</f>
        <v/>
      </c>
      <c r="H1797" s="8" t="str">
        <f aca="false">IF($A1797="","",SUBSTITUTE(SUBSTITUTE(SUBSTITUTE($A1797&amp;"","~","~~"),"*","~*"),"?","~?"))</f>
        <v/>
      </c>
    </row>
    <row r="1798" customFormat="false" ht="15" hidden="false" customHeight="false" outlineLevel="0" collapsed="false">
      <c r="A1798" s="11"/>
      <c r="B1798" s="6"/>
      <c r="C1798" s="11"/>
      <c r="D1798" s="11"/>
      <c r="E1798" s="8" t="str">
        <f aca="false">IF($A1798="","",SUMIFS($C:$C,$A:$A,$H1798,$B:$B,"&gt;="&amp;INT($B1798),$B:$B,"&lt;"&amp;(INT($B1798)+1)))</f>
        <v/>
      </c>
      <c r="F1798" s="19" t="str">
        <f aca="false">IF($A1798="","",IF(ISNA(MATCH($H1798,Buffers!$AE:$AE,0)),"Not on Buffers",IF(NOT(ISNUMBER($B1798)),"Needs a date",IF(INT($B1798)&lt;PlanDate,"Past due",IF(INT($B1798)=PlanDate,"Due today",IF(AND(INDEX(Buffers!$L:$L,MATCH($H1798,Buffers!$AE:$AE,0))="Planned",$E1798&gt;0,INT($B1798)&lt;=PlanDate+ROUNDUP(IF(ISNUMBER(SpikeHorizon),SpikeHorizon,INDEX(Buffers!$D:$D,MATCH($H1798,Buffers!$AE:$AE,0))),0),$E1798&gt;=SpikePct*INDEX(Buffers!$P:$P,MATCH($H1798,Buffers!$AE:$AE,0))),"Spike","Not qualified"))))))</f>
        <v/>
      </c>
      <c r="G1798" s="8" t="str">
        <f aca="false">IF($A1798="","",IF(OR($F1798="Past due",$F1798="Due today",$F1798="Spike"),$C1798,0))</f>
        <v/>
      </c>
      <c r="H1798" s="8" t="str">
        <f aca="false">IF($A1798="","",SUBSTITUTE(SUBSTITUTE(SUBSTITUTE($A1798&amp;"","~","~~"),"*","~*"),"?","~?"))</f>
        <v/>
      </c>
    </row>
    <row r="1799" customFormat="false" ht="15" hidden="false" customHeight="false" outlineLevel="0" collapsed="false">
      <c r="A1799" s="11"/>
      <c r="B1799" s="6"/>
      <c r="C1799" s="11"/>
      <c r="D1799" s="11"/>
      <c r="E1799" s="8" t="str">
        <f aca="false">IF($A1799="","",SUMIFS($C:$C,$A:$A,$H1799,$B:$B,"&gt;="&amp;INT($B1799),$B:$B,"&lt;"&amp;(INT($B1799)+1)))</f>
        <v/>
      </c>
      <c r="F1799" s="19" t="str">
        <f aca="false">IF($A1799="","",IF(ISNA(MATCH($H1799,Buffers!$AE:$AE,0)),"Not on Buffers",IF(NOT(ISNUMBER($B1799)),"Needs a date",IF(INT($B1799)&lt;PlanDate,"Past due",IF(INT($B1799)=PlanDate,"Due today",IF(AND(INDEX(Buffers!$L:$L,MATCH($H1799,Buffers!$AE:$AE,0))="Planned",$E1799&gt;0,INT($B1799)&lt;=PlanDate+ROUNDUP(IF(ISNUMBER(SpikeHorizon),SpikeHorizon,INDEX(Buffers!$D:$D,MATCH($H1799,Buffers!$AE:$AE,0))),0),$E1799&gt;=SpikePct*INDEX(Buffers!$P:$P,MATCH($H1799,Buffers!$AE:$AE,0))),"Spike","Not qualified"))))))</f>
        <v/>
      </c>
      <c r="G1799" s="8" t="str">
        <f aca="false">IF($A1799="","",IF(OR($F1799="Past due",$F1799="Due today",$F1799="Spike"),$C1799,0))</f>
        <v/>
      </c>
      <c r="H1799" s="8" t="str">
        <f aca="false">IF($A1799="","",SUBSTITUTE(SUBSTITUTE(SUBSTITUTE($A1799&amp;"","~","~~"),"*","~*"),"?","~?"))</f>
        <v/>
      </c>
    </row>
    <row r="1800" customFormat="false" ht="15" hidden="false" customHeight="false" outlineLevel="0" collapsed="false">
      <c r="A1800" s="11"/>
      <c r="B1800" s="6"/>
      <c r="C1800" s="11"/>
      <c r="D1800" s="11"/>
      <c r="E1800" s="8" t="str">
        <f aca="false">IF($A1800="","",SUMIFS($C:$C,$A:$A,$H1800,$B:$B,"&gt;="&amp;INT($B1800),$B:$B,"&lt;"&amp;(INT($B1800)+1)))</f>
        <v/>
      </c>
      <c r="F1800" s="19" t="str">
        <f aca="false">IF($A1800="","",IF(ISNA(MATCH($H1800,Buffers!$AE:$AE,0)),"Not on Buffers",IF(NOT(ISNUMBER($B1800)),"Needs a date",IF(INT($B1800)&lt;PlanDate,"Past due",IF(INT($B1800)=PlanDate,"Due today",IF(AND(INDEX(Buffers!$L:$L,MATCH($H1800,Buffers!$AE:$AE,0))="Planned",$E1800&gt;0,INT($B1800)&lt;=PlanDate+ROUNDUP(IF(ISNUMBER(SpikeHorizon),SpikeHorizon,INDEX(Buffers!$D:$D,MATCH($H1800,Buffers!$AE:$AE,0))),0),$E1800&gt;=SpikePct*INDEX(Buffers!$P:$P,MATCH($H1800,Buffers!$AE:$AE,0))),"Spike","Not qualified"))))))</f>
        <v/>
      </c>
      <c r="G1800" s="8" t="str">
        <f aca="false">IF($A1800="","",IF(OR($F1800="Past due",$F1800="Due today",$F1800="Spike"),$C1800,0))</f>
        <v/>
      </c>
      <c r="H1800" s="8" t="str">
        <f aca="false">IF($A1800="","",SUBSTITUTE(SUBSTITUTE(SUBSTITUTE($A1800&amp;"","~","~~"),"*","~*"),"?","~?"))</f>
        <v/>
      </c>
    </row>
    <row r="1801" customFormat="false" ht="15" hidden="false" customHeight="false" outlineLevel="0" collapsed="false">
      <c r="A1801" s="11"/>
      <c r="B1801" s="6"/>
      <c r="C1801" s="11"/>
      <c r="D1801" s="11"/>
      <c r="E1801" s="8" t="str">
        <f aca="false">IF($A1801="","",SUMIFS($C:$C,$A:$A,$H1801,$B:$B,"&gt;="&amp;INT($B1801),$B:$B,"&lt;"&amp;(INT($B1801)+1)))</f>
        <v/>
      </c>
      <c r="F1801" s="19" t="str">
        <f aca="false">IF($A1801="","",IF(ISNA(MATCH($H1801,Buffers!$AE:$AE,0)),"Not on Buffers",IF(NOT(ISNUMBER($B1801)),"Needs a date",IF(INT($B1801)&lt;PlanDate,"Past due",IF(INT($B1801)=PlanDate,"Due today",IF(AND(INDEX(Buffers!$L:$L,MATCH($H1801,Buffers!$AE:$AE,0))="Planned",$E1801&gt;0,INT($B1801)&lt;=PlanDate+ROUNDUP(IF(ISNUMBER(SpikeHorizon),SpikeHorizon,INDEX(Buffers!$D:$D,MATCH($H1801,Buffers!$AE:$AE,0))),0),$E1801&gt;=SpikePct*INDEX(Buffers!$P:$P,MATCH($H1801,Buffers!$AE:$AE,0))),"Spike","Not qualified"))))))</f>
        <v/>
      </c>
      <c r="G1801" s="8" t="str">
        <f aca="false">IF($A1801="","",IF(OR($F1801="Past due",$F1801="Due today",$F1801="Spike"),$C1801,0))</f>
        <v/>
      </c>
      <c r="H1801" s="8" t="str">
        <f aca="false">IF($A1801="","",SUBSTITUTE(SUBSTITUTE(SUBSTITUTE($A1801&amp;"","~","~~"),"*","~*"),"?","~?"))</f>
        <v/>
      </c>
    </row>
    <row r="1802" customFormat="false" ht="15" hidden="false" customHeight="false" outlineLevel="0" collapsed="false">
      <c r="A1802" s="11"/>
      <c r="B1802" s="6"/>
      <c r="C1802" s="11"/>
      <c r="D1802" s="11"/>
      <c r="E1802" s="8" t="str">
        <f aca="false">IF($A1802="","",SUMIFS($C:$C,$A:$A,$H1802,$B:$B,"&gt;="&amp;INT($B1802),$B:$B,"&lt;"&amp;(INT($B1802)+1)))</f>
        <v/>
      </c>
      <c r="F1802" s="19" t="str">
        <f aca="false">IF($A1802="","",IF(ISNA(MATCH($H1802,Buffers!$AE:$AE,0)),"Not on Buffers",IF(NOT(ISNUMBER($B1802)),"Needs a date",IF(INT($B1802)&lt;PlanDate,"Past due",IF(INT($B1802)=PlanDate,"Due today",IF(AND(INDEX(Buffers!$L:$L,MATCH($H1802,Buffers!$AE:$AE,0))="Planned",$E1802&gt;0,INT($B1802)&lt;=PlanDate+ROUNDUP(IF(ISNUMBER(SpikeHorizon),SpikeHorizon,INDEX(Buffers!$D:$D,MATCH($H1802,Buffers!$AE:$AE,0))),0),$E1802&gt;=SpikePct*INDEX(Buffers!$P:$P,MATCH($H1802,Buffers!$AE:$AE,0))),"Spike","Not qualified"))))))</f>
        <v/>
      </c>
      <c r="G1802" s="8" t="str">
        <f aca="false">IF($A1802="","",IF(OR($F1802="Past due",$F1802="Due today",$F1802="Spike"),$C1802,0))</f>
        <v/>
      </c>
      <c r="H1802" s="8" t="str">
        <f aca="false">IF($A1802="","",SUBSTITUTE(SUBSTITUTE(SUBSTITUTE($A1802&amp;"","~","~~"),"*","~*"),"?","~?"))</f>
        <v/>
      </c>
    </row>
    <row r="1803" customFormat="false" ht="15" hidden="false" customHeight="false" outlineLevel="0" collapsed="false">
      <c r="A1803" s="11"/>
      <c r="B1803" s="6"/>
      <c r="C1803" s="11"/>
      <c r="D1803" s="11"/>
      <c r="E1803" s="8" t="str">
        <f aca="false">IF($A1803="","",SUMIFS($C:$C,$A:$A,$H1803,$B:$B,"&gt;="&amp;INT($B1803),$B:$B,"&lt;"&amp;(INT($B1803)+1)))</f>
        <v/>
      </c>
      <c r="F1803" s="19" t="str">
        <f aca="false">IF($A1803="","",IF(ISNA(MATCH($H1803,Buffers!$AE:$AE,0)),"Not on Buffers",IF(NOT(ISNUMBER($B1803)),"Needs a date",IF(INT($B1803)&lt;PlanDate,"Past due",IF(INT($B1803)=PlanDate,"Due today",IF(AND(INDEX(Buffers!$L:$L,MATCH($H1803,Buffers!$AE:$AE,0))="Planned",$E1803&gt;0,INT($B1803)&lt;=PlanDate+ROUNDUP(IF(ISNUMBER(SpikeHorizon),SpikeHorizon,INDEX(Buffers!$D:$D,MATCH($H1803,Buffers!$AE:$AE,0))),0),$E1803&gt;=SpikePct*INDEX(Buffers!$P:$P,MATCH($H1803,Buffers!$AE:$AE,0))),"Spike","Not qualified"))))))</f>
        <v/>
      </c>
      <c r="G1803" s="8" t="str">
        <f aca="false">IF($A1803="","",IF(OR($F1803="Past due",$F1803="Due today",$F1803="Spike"),$C1803,0))</f>
        <v/>
      </c>
      <c r="H1803" s="8" t="str">
        <f aca="false">IF($A1803="","",SUBSTITUTE(SUBSTITUTE(SUBSTITUTE($A1803&amp;"","~","~~"),"*","~*"),"?","~?"))</f>
        <v/>
      </c>
    </row>
    <row r="1804" customFormat="false" ht="15" hidden="false" customHeight="false" outlineLevel="0" collapsed="false">
      <c r="A1804" s="11"/>
      <c r="B1804" s="6"/>
      <c r="C1804" s="11"/>
      <c r="D1804" s="11"/>
      <c r="E1804" s="8" t="str">
        <f aca="false">IF($A1804="","",SUMIFS($C:$C,$A:$A,$H1804,$B:$B,"&gt;="&amp;INT($B1804),$B:$B,"&lt;"&amp;(INT($B1804)+1)))</f>
        <v/>
      </c>
      <c r="F1804" s="19" t="str">
        <f aca="false">IF($A1804="","",IF(ISNA(MATCH($H1804,Buffers!$AE:$AE,0)),"Not on Buffers",IF(NOT(ISNUMBER($B1804)),"Needs a date",IF(INT($B1804)&lt;PlanDate,"Past due",IF(INT($B1804)=PlanDate,"Due today",IF(AND(INDEX(Buffers!$L:$L,MATCH($H1804,Buffers!$AE:$AE,0))="Planned",$E1804&gt;0,INT($B1804)&lt;=PlanDate+ROUNDUP(IF(ISNUMBER(SpikeHorizon),SpikeHorizon,INDEX(Buffers!$D:$D,MATCH($H1804,Buffers!$AE:$AE,0))),0),$E1804&gt;=SpikePct*INDEX(Buffers!$P:$P,MATCH($H1804,Buffers!$AE:$AE,0))),"Spike","Not qualified"))))))</f>
        <v/>
      </c>
      <c r="G1804" s="8" t="str">
        <f aca="false">IF($A1804="","",IF(OR($F1804="Past due",$F1804="Due today",$F1804="Spike"),$C1804,0))</f>
        <v/>
      </c>
      <c r="H1804" s="8" t="str">
        <f aca="false">IF($A1804="","",SUBSTITUTE(SUBSTITUTE(SUBSTITUTE($A1804&amp;"","~","~~"),"*","~*"),"?","~?"))</f>
        <v/>
      </c>
    </row>
    <row r="1805" customFormat="false" ht="15" hidden="false" customHeight="false" outlineLevel="0" collapsed="false">
      <c r="A1805" s="11"/>
      <c r="B1805" s="6"/>
      <c r="C1805" s="11"/>
      <c r="D1805" s="11"/>
      <c r="E1805" s="8" t="str">
        <f aca="false">IF($A1805="","",SUMIFS($C:$C,$A:$A,$H1805,$B:$B,"&gt;="&amp;INT($B1805),$B:$B,"&lt;"&amp;(INT($B1805)+1)))</f>
        <v/>
      </c>
      <c r="F1805" s="19" t="str">
        <f aca="false">IF($A1805="","",IF(ISNA(MATCH($H1805,Buffers!$AE:$AE,0)),"Not on Buffers",IF(NOT(ISNUMBER($B1805)),"Needs a date",IF(INT($B1805)&lt;PlanDate,"Past due",IF(INT($B1805)=PlanDate,"Due today",IF(AND(INDEX(Buffers!$L:$L,MATCH($H1805,Buffers!$AE:$AE,0))="Planned",$E1805&gt;0,INT($B1805)&lt;=PlanDate+ROUNDUP(IF(ISNUMBER(SpikeHorizon),SpikeHorizon,INDEX(Buffers!$D:$D,MATCH($H1805,Buffers!$AE:$AE,0))),0),$E1805&gt;=SpikePct*INDEX(Buffers!$P:$P,MATCH($H1805,Buffers!$AE:$AE,0))),"Spike","Not qualified"))))))</f>
        <v/>
      </c>
      <c r="G1805" s="8" t="str">
        <f aca="false">IF($A1805="","",IF(OR($F1805="Past due",$F1805="Due today",$F1805="Spike"),$C1805,0))</f>
        <v/>
      </c>
      <c r="H1805" s="8" t="str">
        <f aca="false">IF($A1805="","",SUBSTITUTE(SUBSTITUTE(SUBSTITUTE($A1805&amp;"","~","~~"),"*","~*"),"?","~?"))</f>
        <v/>
      </c>
    </row>
    <row r="1806" customFormat="false" ht="15" hidden="false" customHeight="false" outlineLevel="0" collapsed="false">
      <c r="A1806" s="11"/>
      <c r="B1806" s="6"/>
      <c r="C1806" s="11"/>
      <c r="D1806" s="11"/>
      <c r="E1806" s="8" t="str">
        <f aca="false">IF($A1806="","",SUMIFS($C:$C,$A:$A,$H1806,$B:$B,"&gt;="&amp;INT($B1806),$B:$B,"&lt;"&amp;(INT($B1806)+1)))</f>
        <v/>
      </c>
      <c r="F1806" s="19" t="str">
        <f aca="false">IF($A1806="","",IF(ISNA(MATCH($H1806,Buffers!$AE:$AE,0)),"Not on Buffers",IF(NOT(ISNUMBER($B1806)),"Needs a date",IF(INT($B1806)&lt;PlanDate,"Past due",IF(INT($B1806)=PlanDate,"Due today",IF(AND(INDEX(Buffers!$L:$L,MATCH($H1806,Buffers!$AE:$AE,0))="Planned",$E1806&gt;0,INT($B1806)&lt;=PlanDate+ROUNDUP(IF(ISNUMBER(SpikeHorizon),SpikeHorizon,INDEX(Buffers!$D:$D,MATCH($H1806,Buffers!$AE:$AE,0))),0),$E1806&gt;=SpikePct*INDEX(Buffers!$P:$P,MATCH($H1806,Buffers!$AE:$AE,0))),"Spike","Not qualified"))))))</f>
        <v/>
      </c>
      <c r="G1806" s="8" t="str">
        <f aca="false">IF($A1806="","",IF(OR($F1806="Past due",$F1806="Due today",$F1806="Spike"),$C1806,0))</f>
        <v/>
      </c>
      <c r="H1806" s="8" t="str">
        <f aca="false">IF($A1806="","",SUBSTITUTE(SUBSTITUTE(SUBSTITUTE($A1806&amp;"","~","~~"),"*","~*"),"?","~?"))</f>
        <v/>
      </c>
    </row>
    <row r="1807" customFormat="false" ht="15" hidden="false" customHeight="false" outlineLevel="0" collapsed="false">
      <c r="A1807" s="11"/>
      <c r="B1807" s="6"/>
      <c r="C1807" s="11"/>
      <c r="D1807" s="11"/>
      <c r="E1807" s="8" t="str">
        <f aca="false">IF($A1807="","",SUMIFS($C:$C,$A:$A,$H1807,$B:$B,"&gt;="&amp;INT($B1807),$B:$B,"&lt;"&amp;(INT($B1807)+1)))</f>
        <v/>
      </c>
      <c r="F1807" s="19" t="str">
        <f aca="false">IF($A1807="","",IF(ISNA(MATCH($H1807,Buffers!$AE:$AE,0)),"Not on Buffers",IF(NOT(ISNUMBER($B1807)),"Needs a date",IF(INT($B1807)&lt;PlanDate,"Past due",IF(INT($B1807)=PlanDate,"Due today",IF(AND(INDEX(Buffers!$L:$L,MATCH($H1807,Buffers!$AE:$AE,0))="Planned",$E1807&gt;0,INT($B1807)&lt;=PlanDate+ROUNDUP(IF(ISNUMBER(SpikeHorizon),SpikeHorizon,INDEX(Buffers!$D:$D,MATCH($H1807,Buffers!$AE:$AE,0))),0),$E1807&gt;=SpikePct*INDEX(Buffers!$P:$P,MATCH($H1807,Buffers!$AE:$AE,0))),"Spike","Not qualified"))))))</f>
        <v/>
      </c>
      <c r="G1807" s="8" t="str">
        <f aca="false">IF($A1807="","",IF(OR($F1807="Past due",$F1807="Due today",$F1807="Spike"),$C1807,0))</f>
        <v/>
      </c>
      <c r="H1807" s="8" t="str">
        <f aca="false">IF($A1807="","",SUBSTITUTE(SUBSTITUTE(SUBSTITUTE($A1807&amp;"","~","~~"),"*","~*"),"?","~?"))</f>
        <v/>
      </c>
    </row>
    <row r="1808" customFormat="false" ht="15" hidden="false" customHeight="false" outlineLevel="0" collapsed="false">
      <c r="A1808" s="11"/>
      <c r="B1808" s="6"/>
      <c r="C1808" s="11"/>
      <c r="D1808" s="11"/>
      <c r="E1808" s="8" t="str">
        <f aca="false">IF($A1808="","",SUMIFS($C:$C,$A:$A,$H1808,$B:$B,"&gt;="&amp;INT($B1808),$B:$B,"&lt;"&amp;(INT($B1808)+1)))</f>
        <v/>
      </c>
      <c r="F1808" s="19" t="str">
        <f aca="false">IF($A1808="","",IF(ISNA(MATCH($H1808,Buffers!$AE:$AE,0)),"Not on Buffers",IF(NOT(ISNUMBER($B1808)),"Needs a date",IF(INT($B1808)&lt;PlanDate,"Past due",IF(INT($B1808)=PlanDate,"Due today",IF(AND(INDEX(Buffers!$L:$L,MATCH($H1808,Buffers!$AE:$AE,0))="Planned",$E1808&gt;0,INT($B1808)&lt;=PlanDate+ROUNDUP(IF(ISNUMBER(SpikeHorizon),SpikeHorizon,INDEX(Buffers!$D:$D,MATCH($H1808,Buffers!$AE:$AE,0))),0),$E1808&gt;=SpikePct*INDEX(Buffers!$P:$P,MATCH($H1808,Buffers!$AE:$AE,0))),"Spike","Not qualified"))))))</f>
        <v/>
      </c>
      <c r="G1808" s="8" t="str">
        <f aca="false">IF($A1808="","",IF(OR($F1808="Past due",$F1808="Due today",$F1808="Spike"),$C1808,0))</f>
        <v/>
      </c>
      <c r="H1808" s="8" t="str">
        <f aca="false">IF($A1808="","",SUBSTITUTE(SUBSTITUTE(SUBSTITUTE($A1808&amp;"","~","~~"),"*","~*"),"?","~?"))</f>
        <v/>
      </c>
    </row>
    <row r="1809" customFormat="false" ht="15" hidden="false" customHeight="false" outlineLevel="0" collapsed="false">
      <c r="A1809" s="11"/>
      <c r="B1809" s="6"/>
      <c r="C1809" s="11"/>
      <c r="D1809" s="11"/>
      <c r="E1809" s="8" t="str">
        <f aca="false">IF($A1809="","",SUMIFS($C:$C,$A:$A,$H1809,$B:$B,"&gt;="&amp;INT($B1809),$B:$B,"&lt;"&amp;(INT($B1809)+1)))</f>
        <v/>
      </c>
      <c r="F1809" s="19" t="str">
        <f aca="false">IF($A1809="","",IF(ISNA(MATCH($H1809,Buffers!$AE:$AE,0)),"Not on Buffers",IF(NOT(ISNUMBER($B1809)),"Needs a date",IF(INT($B1809)&lt;PlanDate,"Past due",IF(INT($B1809)=PlanDate,"Due today",IF(AND(INDEX(Buffers!$L:$L,MATCH($H1809,Buffers!$AE:$AE,0))="Planned",$E1809&gt;0,INT($B1809)&lt;=PlanDate+ROUNDUP(IF(ISNUMBER(SpikeHorizon),SpikeHorizon,INDEX(Buffers!$D:$D,MATCH($H1809,Buffers!$AE:$AE,0))),0),$E1809&gt;=SpikePct*INDEX(Buffers!$P:$P,MATCH($H1809,Buffers!$AE:$AE,0))),"Spike","Not qualified"))))))</f>
        <v/>
      </c>
      <c r="G1809" s="8" t="str">
        <f aca="false">IF($A1809="","",IF(OR($F1809="Past due",$F1809="Due today",$F1809="Spike"),$C1809,0))</f>
        <v/>
      </c>
      <c r="H1809" s="8" t="str">
        <f aca="false">IF($A1809="","",SUBSTITUTE(SUBSTITUTE(SUBSTITUTE($A1809&amp;"","~","~~"),"*","~*"),"?","~?"))</f>
        <v/>
      </c>
    </row>
    <row r="1810" customFormat="false" ht="15" hidden="false" customHeight="false" outlineLevel="0" collapsed="false">
      <c r="A1810" s="11"/>
      <c r="B1810" s="6"/>
      <c r="C1810" s="11"/>
      <c r="D1810" s="11"/>
      <c r="E1810" s="8" t="str">
        <f aca="false">IF($A1810="","",SUMIFS($C:$C,$A:$A,$H1810,$B:$B,"&gt;="&amp;INT($B1810),$B:$B,"&lt;"&amp;(INT($B1810)+1)))</f>
        <v/>
      </c>
      <c r="F1810" s="19" t="str">
        <f aca="false">IF($A1810="","",IF(ISNA(MATCH($H1810,Buffers!$AE:$AE,0)),"Not on Buffers",IF(NOT(ISNUMBER($B1810)),"Needs a date",IF(INT($B1810)&lt;PlanDate,"Past due",IF(INT($B1810)=PlanDate,"Due today",IF(AND(INDEX(Buffers!$L:$L,MATCH($H1810,Buffers!$AE:$AE,0))="Planned",$E1810&gt;0,INT($B1810)&lt;=PlanDate+ROUNDUP(IF(ISNUMBER(SpikeHorizon),SpikeHorizon,INDEX(Buffers!$D:$D,MATCH($H1810,Buffers!$AE:$AE,0))),0),$E1810&gt;=SpikePct*INDEX(Buffers!$P:$P,MATCH($H1810,Buffers!$AE:$AE,0))),"Spike","Not qualified"))))))</f>
        <v/>
      </c>
      <c r="G1810" s="8" t="str">
        <f aca="false">IF($A1810="","",IF(OR($F1810="Past due",$F1810="Due today",$F1810="Spike"),$C1810,0))</f>
        <v/>
      </c>
      <c r="H1810" s="8" t="str">
        <f aca="false">IF($A1810="","",SUBSTITUTE(SUBSTITUTE(SUBSTITUTE($A1810&amp;"","~","~~"),"*","~*"),"?","~?"))</f>
        <v/>
      </c>
    </row>
    <row r="1811" customFormat="false" ht="15" hidden="false" customHeight="false" outlineLevel="0" collapsed="false">
      <c r="A1811" s="11"/>
      <c r="B1811" s="6"/>
      <c r="C1811" s="11"/>
      <c r="D1811" s="11"/>
      <c r="E1811" s="8" t="str">
        <f aca="false">IF($A1811="","",SUMIFS($C:$C,$A:$A,$H1811,$B:$B,"&gt;="&amp;INT($B1811),$B:$B,"&lt;"&amp;(INT($B1811)+1)))</f>
        <v/>
      </c>
      <c r="F1811" s="19" t="str">
        <f aca="false">IF($A1811="","",IF(ISNA(MATCH($H1811,Buffers!$AE:$AE,0)),"Not on Buffers",IF(NOT(ISNUMBER($B1811)),"Needs a date",IF(INT($B1811)&lt;PlanDate,"Past due",IF(INT($B1811)=PlanDate,"Due today",IF(AND(INDEX(Buffers!$L:$L,MATCH($H1811,Buffers!$AE:$AE,0))="Planned",$E1811&gt;0,INT($B1811)&lt;=PlanDate+ROUNDUP(IF(ISNUMBER(SpikeHorizon),SpikeHorizon,INDEX(Buffers!$D:$D,MATCH($H1811,Buffers!$AE:$AE,0))),0),$E1811&gt;=SpikePct*INDEX(Buffers!$P:$P,MATCH($H1811,Buffers!$AE:$AE,0))),"Spike","Not qualified"))))))</f>
        <v/>
      </c>
      <c r="G1811" s="8" t="str">
        <f aca="false">IF($A1811="","",IF(OR($F1811="Past due",$F1811="Due today",$F1811="Spike"),$C1811,0))</f>
        <v/>
      </c>
      <c r="H1811" s="8" t="str">
        <f aca="false">IF($A1811="","",SUBSTITUTE(SUBSTITUTE(SUBSTITUTE($A1811&amp;"","~","~~"),"*","~*"),"?","~?"))</f>
        <v/>
      </c>
    </row>
    <row r="1812" customFormat="false" ht="15" hidden="false" customHeight="false" outlineLevel="0" collapsed="false">
      <c r="A1812" s="11"/>
      <c r="B1812" s="6"/>
      <c r="C1812" s="11"/>
      <c r="D1812" s="11"/>
      <c r="E1812" s="8" t="str">
        <f aca="false">IF($A1812="","",SUMIFS($C:$C,$A:$A,$H1812,$B:$B,"&gt;="&amp;INT($B1812),$B:$B,"&lt;"&amp;(INT($B1812)+1)))</f>
        <v/>
      </c>
      <c r="F1812" s="19" t="str">
        <f aca="false">IF($A1812="","",IF(ISNA(MATCH($H1812,Buffers!$AE:$AE,0)),"Not on Buffers",IF(NOT(ISNUMBER($B1812)),"Needs a date",IF(INT($B1812)&lt;PlanDate,"Past due",IF(INT($B1812)=PlanDate,"Due today",IF(AND(INDEX(Buffers!$L:$L,MATCH($H1812,Buffers!$AE:$AE,0))="Planned",$E1812&gt;0,INT($B1812)&lt;=PlanDate+ROUNDUP(IF(ISNUMBER(SpikeHorizon),SpikeHorizon,INDEX(Buffers!$D:$D,MATCH($H1812,Buffers!$AE:$AE,0))),0),$E1812&gt;=SpikePct*INDEX(Buffers!$P:$P,MATCH($H1812,Buffers!$AE:$AE,0))),"Spike","Not qualified"))))))</f>
        <v/>
      </c>
      <c r="G1812" s="8" t="str">
        <f aca="false">IF($A1812="","",IF(OR($F1812="Past due",$F1812="Due today",$F1812="Spike"),$C1812,0))</f>
        <v/>
      </c>
      <c r="H1812" s="8" t="str">
        <f aca="false">IF($A1812="","",SUBSTITUTE(SUBSTITUTE(SUBSTITUTE($A1812&amp;"","~","~~"),"*","~*"),"?","~?"))</f>
        <v/>
      </c>
    </row>
    <row r="1813" customFormat="false" ht="15" hidden="false" customHeight="false" outlineLevel="0" collapsed="false">
      <c r="A1813" s="11"/>
      <c r="B1813" s="6"/>
      <c r="C1813" s="11"/>
      <c r="D1813" s="11"/>
      <c r="E1813" s="8" t="str">
        <f aca="false">IF($A1813="","",SUMIFS($C:$C,$A:$A,$H1813,$B:$B,"&gt;="&amp;INT($B1813),$B:$B,"&lt;"&amp;(INT($B1813)+1)))</f>
        <v/>
      </c>
      <c r="F1813" s="19" t="str">
        <f aca="false">IF($A1813="","",IF(ISNA(MATCH($H1813,Buffers!$AE:$AE,0)),"Not on Buffers",IF(NOT(ISNUMBER($B1813)),"Needs a date",IF(INT($B1813)&lt;PlanDate,"Past due",IF(INT($B1813)=PlanDate,"Due today",IF(AND(INDEX(Buffers!$L:$L,MATCH($H1813,Buffers!$AE:$AE,0))="Planned",$E1813&gt;0,INT($B1813)&lt;=PlanDate+ROUNDUP(IF(ISNUMBER(SpikeHorizon),SpikeHorizon,INDEX(Buffers!$D:$D,MATCH($H1813,Buffers!$AE:$AE,0))),0),$E1813&gt;=SpikePct*INDEX(Buffers!$P:$P,MATCH($H1813,Buffers!$AE:$AE,0))),"Spike","Not qualified"))))))</f>
        <v/>
      </c>
      <c r="G1813" s="8" t="str">
        <f aca="false">IF($A1813="","",IF(OR($F1813="Past due",$F1813="Due today",$F1813="Spike"),$C1813,0))</f>
        <v/>
      </c>
      <c r="H1813" s="8" t="str">
        <f aca="false">IF($A1813="","",SUBSTITUTE(SUBSTITUTE(SUBSTITUTE($A1813&amp;"","~","~~"),"*","~*"),"?","~?"))</f>
        <v/>
      </c>
    </row>
    <row r="1814" customFormat="false" ht="15" hidden="false" customHeight="false" outlineLevel="0" collapsed="false">
      <c r="A1814" s="11"/>
      <c r="B1814" s="6"/>
      <c r="C1814" s="11"/>
      <c r="D1814" s="11"/>
      <c r="E1814" s="8" t="str">
        <f aca="false">IF($A1814="","",SUMIFS($C:$C,$A:$A,$H1814,$B:$B,"&gt;="&amp;INT($B1814),$B:$B,"&lt;"&amp;(INT($B1814)+1)))</f>
        <v/>
      </c>
      <c r="F1814" s="19" t="str">
        <f aca="false">IF($A1814="","",IF(ISNA(MATCH($H1814,Buffers!$AE:$AE,0)),"Not on Buffers",IF(NOT(ISNUMBER($B1814)),"Needs a date",IF(INT($B1814)&lt;PlanDate,"Past due",IF(INT($B1814)=PlanDate,"Due today",IF(AND(INDEX(Buffers!$L:$L,MATCH($H1814,Buffers!$AE:$AE,0))="Planned",$E1814&gt;0,INT($B1814)&lt;=PlanDate+ROUNDUP(IF(ISNUMBER(SpikeHorizon),SpikeHorizon,INDEX(Buffers!$D:$D,MATCH($H1814,Buffers!$AE:$AE,0))),0),$E1814&gt;=SpikePct*INDEX(Buffers!$P:$P,MATCH($H1814,Buffers!$AE:$AE,0))),"Spike","Not qualified"))))))</f>
        <v/>
      </c>
      <c r="G1814" s="8" t="str">
        <f aca="false">IF($A1814="","",IF(OR($F1814="Past due",$F1814="Due today",$F1814="Spike"),$C1814,0))</f>
        <v/>
      </c>
      <c r="H1814" s="8" t="str">
        <f aca="false">IF($A1814="","",SUBSTITUTE(SUBSTITUTE(SUBSTITUTE($A1814&amp;"","~","~~"),"*","~*"),"?","~?"))</f>
        <v/>
      </c>
    </row>
    <row r="1815" customFormat="false" ht="15" hidden="false" customHeight="false" outlineLevel="0" collapsed="false">
      <c r="A1815" s="11"/>
      <c r="B1815" s="6"/>
      <c r="C1815" s="11"/>
      <c r="D1815" s="11"/>
      <c r="E1815" s="8" t="str">
        <f aca="false">IF($A1815="","",SUMIFS($C:$C,$A:$A,$H1815,$B:$B,"&gt;="&amp;INT($B1815),$B:$B,"&lt;"&amp;(INT($B1815)+1)))</f>
        <v/>
      </c>
      <c r="F1815" s="19" t="str">
        <f aca="false">IF($A1815="","",IF(ISNA(MATCH($H1815,Buffers!$AE:$AE,0)),"Not on Buffers",IF(NOT(ISNUMBER($B1815)),"Needs a date",IF(INT($B1815)&lt;PlanDate,"Past due",IF(INT($B1815)=PlanDate,"Due today",IF(AND(INDEX(Buffers!$L:$L,MATCH($H1815,Buffers!$AE:$AE,0))="Planned",$E1815&gt;0,INT($B1815)&lt;=PlanDate+ROUNDUP(IF(ISNUMBER(SpikeHorizon),SpikeHorizon,INDEX(Buffers!$D:$D,MATCH($H1815,Buffers!$AE:$AE,0))),0),$E1815&gt;=SpikePct*INDEX(Buffers!$P:$P,MATCH($H1815,Buffers!$AE:$AE,0))),"Spike","Not qualified"))))))</f>
        <v/>
      </c>
      <c r="G1815" s="8" t="str">
        <f aca="false">IF($A1815="","",IF(OR($F1815="Past due",$F1815="Due today",$F1815="Spike"),$C1815,0))</f>
        <v/>
      </c>
      <c r="H1815" s="8" t="str">
        <f aca="false">IF($A1815="","",SUBSTITUTE(SUBSTITUTE(SUBSTITUTE($A1815&amp;"","~","~~"),"*","~*"),"?","~?"))</f>
        <v/>
      </c>
    </row>
    <row r="1816" customFormat="false" ht="15" hidden="false" customHeight="false" outlineLevel="0" collapsed="false">
      <c r="A1816" s="11"/>
      <c r="B1816" s="6"/>
      <c r="C1816" s="11"/>
      <c r="D1816" s="11"/>
      <c r="E1816" s="8" t="str">
        <f aca="false">IF($A1816="","",SUMIFS($C:$C,$A:$A,$H1816,$B:$B,"&gt;="&amp;INT($B1816),$B:$B,"&lt;"&amp;(INT($B1816)+1)))</f>
        <v/>
      </c>
      <c r="F1816" s="19" t="str">
        <f aca="false">IF($A1816="","",IF(ISNA(MATCH($H1816,Buffers!$AE:$AE,0)),"Not on Buffers",IF(NOT(ISNUMBER($B1816)),"Needs a date",IF(INT($B1816)&lt;PlanDate,"Past due",IF(INT($B1816)=PlanDate,"Due today",IF(AND(INDEX(Buffers!$L:$L,MATCH($H1816,Buffers!$AE:$AE,0))="Planned",$E1816&gt;0,INT($B1816)&lt;=PlanDate+ROUNDUP(IF(ISNUMBER(SpikeHorizon),SpikeHorizon,INDEX(Buffers!$D:$D,MATCH($H1816,Buffers!$AE:$AE,0))),0),$E1816&gt;=SpikePct*INDEX(Buffers!$P:$P,MATCH($H1816,Buffers!$AE:$AE,0))),"Spike","Not qualified"))))))</f>
        <v/>
      </c>
      <c r="G1816" s="8" t="str">
        <f aca="false">IF($A1816="","",IF(OR($F1816="Past due",$F1816="Due today",$F1816="Spike"),$C1816,0))</f>
        <v/>
      </c>
      <c r="H1816" s="8" t="str">
        <f aca="false">IF($A1816="","",SUBSTITUTE(SUBSTITUTE(SUBSTITUTE($A1816&amp;"","~","~~"),"*","~*"),"?","~?"))</f>
        <v/>
      </c>
    </row>
    <row r="1817" customFormat="false" ht="15" hidden="false" customHeight="false" outlineLevel="0" collapsed="false">
      <c r="A1817" s="11"/>
      <c r="B1817" s="6"/>
      <c r="C1817" s="11"/>
      <c r="D1817" s="11"/>
      <c r="E1817" s="8" t="str">
        <f aca="false">IF($A1817="","",SUMIFS($C:$C,$A:$A,$H1817,$B:$B,"&gt;="&amp;INT($B1817),$B:$B,"&lt;"&amp;(INT($B1817)+1)))</f>
        <v/>
      </c>
      <c r="F1817" s="19" t="str">
        <f aca="false">IF($A1817="","",IF(ISNA(MATCH($H1817,Buffers!$AE:$AE,0)),"Not on Buffers",IF(NOT(ISNUMBER($B1817)),"Needs a date",IF(INT($B1817)&lt;PlanDate,"Past due",IF(INT($B1817)=PlanDate,"Due today",IF(AND(INDEX(Buffers!$L:$L,MATCH($H1817,Buffers!$AE:$AE,0))="Planned",$E1817&gt;0,INT($B1817)&lt;=PlanDate+ROUNDUP(IF(ISNUMBER(SpikeHorizon),SpikeHorizon,INDEX(Buffers!$D:$D,MATCH($H1817,Buffers!$AE:$AE,0))),0),$E1817&gt;=SpikePct*INDEX(Buffers!$P:$P,MATCH($H1817,Buffers!$AE:$AE,0))),"Spike","Not qualified"))))))</f>
        <v/>
      </c>
      <c r="G1817" s="8" t="str">
        <f aca="false">IF($A1817="","",IF(OR($F1817="Past due",$F1817="Due today",$F1817="Spike"),$C1817,0))</f>
        <v/>
      </c>
      <c r="H1817" s="8" t="str">
        <f aca="false">IF($A1817="","",SUBSTITUTE(SUBSTITUTE(SUBSTITUTE($A1817&amp;"","~","~~"),"*","~*"),"?","~?"))</f>
        <v/>
      </c>
    </row>
    <row r="1818" customFormat="false" ht="15" hidden="false" customHeight="false" outlineLevel="0" collapsed="false">
      <c r="A1818" s="11"/>
      <c r="B1818" s="6"/>
      <c r="C1818" s="11"/>
      <c r="D1818" s="11"/>
      <c r="E1818" s="8" t="str">
        <f aca="false">IF($A1818="","",SUMIFS($C:$C,$A:$A,$H1818,$B:$B,"&gt;="&amp;INT($B1818),$B:$B,"&lt;"&amp;(INT($B1818)+1)))</f>
        <v/>
      </c>
      <c r="F1818" s="19" t="str">
        <f aca="false">IF($A1818="","",IF(ISNA(MATCH($H1818,Buffers!$AE:$AE,0)),"Not on Buffers",IF(NOT(ISNUMBER($B1818)),"Needs a date",IF(INT($B1818)&lt;PlanDate,"Past due",IF(INT($B1818)=PlanDate,"Due today",IF(AND(INDEX(Buffers!$L:$L,MATCH($H1818,Buffers!$AE:$AE,0))="Planned",$E1818&gt;0,INT($B1818)&lt;=PlanDate+ROUNDUP(IF(ISNUMBER(SpikeHorizon),SpikeHorizon,INDEX(Buffers!$D:$D,MATCH($H1818,Buffers!$AE:$AE,0))),0),$E1818&gt;=SpikePct*INDEX(Buffers!$P:$P,MATCH($H1818,Buffers!$AE:$AE,0))),"Spike","Not qualified"))))))</f>
        <v/>
      </c>
      <c r="G1818" s="8" t="str">
        <f aca="false">IF($A1818="","",IF(OR($F1818="Past due",$F1818="Due today",$F1818="Spike"),$C1818,0))</f>
        <v/>
      </c>
      <c r="H1818" s="8" t="str">
        <f aca="false">IF($A1818="","",SUBSTITUTE(SUBSTITUTE(SUBSTITUTE($A1818&amp;"","~","~~"),"*","~*"),"?","~?"))</f>
        <v/>
      </c>
    </row>
    <row r="1819" customFormat="false" ht="15" hidden="false" customHeight="false" outlineLevel="0" collapsed="false">
      <c r="A1819" s="11"/>
      <c r="B1819" s="6"/>
      <c r="C1819" s="11"/>
      <c r="D1819" s="11"/>
      <c r="E1819" s="8" t="str">
        <f aca="false">IF($A1819="","",SUMIFS($C:$C,$A:$A,$H1819,$B:$B,"&gt;="&amp;INT($B1819),$B:$B,"&lt;"&amp;(INT($B1819)+1)))</f>
        <v/>
      </c>
      <c r="F1819" s="19" t="str">
        <f aca="false">IF($A1819="","",IF(ISNA(MATCH($H1819,Buffers!$AE:$AE,0)),"Not on Buffers",IF(NOT(ISNUMBER($B1819)),"Needs a date",IF(INT($B1819)&lt;PlanDate,"Past due",IF(INT($B1819)=PlanDate,"Due today",IF(AND(INDEX(Buffers!$L:$L,MATCH($H1819,Buffers!$AE:$AE,0))="Planned",$E1819&gt;0,INT($B1819)&lt;=PlanDate+ROUNDUP(IF(ISNUMBER(SpikeHorizon),SpikeHorizon,INDEX(Buffers!$D:$D,MATCH($H1819,Buffers!$AE:$AE,0))),0),$E1819&gt;=SpikePct*INDEX(Buffers!$P:$P,MATCH($H1819,Buffers!$AE:$AE,0))),"Spike","Not qualified"))))))</f>
        <v/>
      </c>
      <c r="G1819" s="8" t="str">
        <f aca="false">IF($A1819="","",IF(OR($F1819="Past due",$F1819="Due today",$F1819="Spike"),$C1819,0))</f>
        <v/>
      </c>
      <c r="H1819" s="8" t="str">
        <f aca="false">IF($A1819="","",SUBSTITUTE(SUBSTITUTE(SUBSTITUTE($A1819&amp;"","~","~~"),"*","~*"),"?","~?"))</f>
        <v/>
      </c>
    </row>
    <row r="1820" customFormat="false" ht="15" hidden="false" customHeight="false" outlineLevel="0" collapsed="false">
      <c r="A1820" s="11"/>
      <c r="B1820" s="6"/>
      <c r="C1820" s="11"/>
      <c r="D1820" s="11"/>
      <c r="E1820" s="8" t="str">
        <f aca="false">IF($A1820="","",SUMIFS($C:$C,$A:$A,$H1820,$B:$B,"&gt;="&amp;INT($B1820),$B:$B,"&lt;"&amp;(INT($B1820)+1)))</f>
        <v/>
      </c>
      <c r="F1820" s="19" t="str">
        <f aca="false">IF($A1820="","",IF(ISNA(MATCH($H1820,Buffers!$AE:$AE,0)),"Not on Buffers",IF(NOT(ISNUMBER($B1820)),"Needs a date",IF(INT($B1820)&lt;PlanDate,"Past due",IF(INT($B1820)=PlanDate,"Due today",IF(AND(INDEX(Buffers!$L:$L,MATCH($H1820,Buffers!$AE:$AE,0))="Planned",$E1820&gt;0,INT($B1820)&lt;=PlanDate+ROUNDUP(IF(ISNUMBER(SpikeHorizon),SpikeHorizon,INDEX(Buffers!$D:$D,MATCH($H1820,Buffers!$AE:$AE,0))),0),$E1820&gt;=SpikePct*INDEX(Buffers!$P:$P,MATCH($H1820,Buffers!$AE:$AE,0))),"Spike","Not qualified"))))))</f>
        <v/>
      </c>
      <c r="G1820" s="8" t="str">
        <f aca="false">IF($A1820="","",IF(OR($F1820="Past due",$F1820="Due today",$F1820="Spike"),$C1820,0))</f>
        <v/>
      </c>
      <c r="H1820" s="8" t="str">
        <f aca="false">IF($A1820="","",SUBSTITUTE(SUBSTITUTE(SUBSTITUTE($A1820&amp;"","~","~~"),"*","~*"),"?","~?"))</f>
        <v/>
      </c>
    </row>
    <row r="1821" customFormat="false" ht="15" hidden="false" customHeight="false" outlineLevel="0" collapsed="false">
      <c r="A1821" s="11"/>
      <c r="B1821" s="6"/>
      <c r="C1821" s="11"/>
      <c r="D1821" s="11"/>
      <c r="E1821" s="8" t="str">
        <f aca="false">IF($A1821="","",SUMIFS($C:$C,$A:$A,$H1821,$B:$B,"&gt;="&amp;INT($B1821),$B:$B,"&lt;"&amp;(INT($B1821)+1)))</f>
        <v/>
      </c>
      <c r="F1821" s="19" t="str">
        <f aca="false">IF($A1821="","",IF(ISNA(MATCH($H1821,Buffers!$AE:$AE,0)),"Not on Buffers",IF(NOT(ISNUMBER($B1821)),"Needs a date",IF(INT($B1821)&lt;PlanDate,"Past due",IF(INT($B1821)=PlanDate,"Due today",IF(AND(INDEX(Buffers!$L:$L,MATCH($H1821,Buffers!$AE:$AE,0))="Planned",$E1821&gt;0,INT($B1821)&lt;=PlanDate+ROUNDUP(IF(ISNUMBER(SpikeHorizon),SpikeHorizon,INDEX(Buffers!$D:$D,MATCH($H1821,Buffers!$AE:$AE,0))),0),$E1821&gt;=SpikePct*INDEX(Buffers!$P:$P,MATCH($H1821,Buffers!$AE:$AE,0))),"Spike","Not qualified"))))))</f>
        <v/>
      </c>
      <c r="G1821" s="8" t="str">
        <f aca="false">IF($A1821="","",IF(OR($F1821="Past due",$F1821="Due today",$F1821="Spike"),$C1821,0))</f>
        <v/>
      </c>
      <c r="H1821" s="8" t="str">
        <f aca="false">IF($A1821="","",SUBSTITUTE(SUBSTITUTE(SUBSTITUTE($A1821&amp;"","~","~~"),"*","~*"),"?","~?"))</f>
        <v/>
      </c>
    </row>
    <row r="1822" customFormat="false" ht="15" hidden="false" customHeight="false" outlineLevel="0" collapsed="false">
      <c r="A1822" s="11"/>
      <c r="B1822" s="6"/>
      <c r="C1822" s="11"/>
      <c r="D1822" s="11"/>
      <c r="E1822" s="8" t="str">
        <f aca="false">IF($A1822="","",SUMIFS($C:$C,$A:$A,$H1822,$B:$B,"&gt;="&amp;INT($B1822),$B:$B,"&lt;"&amp;(INT($B1822)+1)))</f>
        <v/>
      </c>
      <c r="F1822" s="19" t="str">
        <f aca="false">IF($A1822="","",IF(ISNA(MATCH($H1822,Buffers!$AE:$AE,0)),"Not on Buffers",IF(NOT(ISNUMBER($B1822)),"Needs a date",IF(INT($B1822)&lt;PlanDate,"Past due",IF(INT($B1822)=PlanDate,"Due today",IF(AND(INDEX(Buffers!$L:$L,MATCH($H1822,Buffers!$AE:$AE,0))="Planned",$E1822&gt;0,INT($B1822)&lt;=PlanDate+ROUNDUP(IF(ISNUMBER(SpikeHorizon),SpikeHorizon,INDEX(Buffers!$D:$D,MATCH($H1822,Buffers!$AE:$AE,0))),0),$E1822&gt;=SpikePct*INDEX(Buffers!$P:$P,MATCH($H1822,Buffers!$AE:$AE,0))),"Spike","Not qualified"))))))</f>
        <v/>
      </c>
      <c r="G1822" s="8" t="str">
        <f aca="false">IF($A1822="","",IF(OR($F1822="Past due",$F1822="Due today",$F1822="Spike"),$C1822,0))</f>
        <v/>
      </c>
      <c r="H1822" s="8" t="str">
        <f aca="false">IF($A1822="","",SUBSTITUTE(SUBSTITUTE(SUBSTITUTE($A1822&amp;"","~","~~"),"*","~*"),"?","~?"))</f>
        <v/>
      </c>
    </row>
    <row r="1823" customFormat="false" ht="15" hidden="false" customHeight="false" outlineLevel="0" collapsed="false">
      <c r="A1823" s="11"/>
      <c r="B1823" s="6"/>
      <c r="C1823" s="11"/>
      <c r="D1823" s="11"/>
      <c r="E1823" s="8" t="str">
        <f aca="false">IF($A1823="","",SUMIFS($C:$C,$A:$A,$H1823,$B:$B,"&gt;="&amp;INT($B1823),$B:$B,"&lt;"&amp;(INT($B1823)+1)))</f>
        <v/>
      </c>
      <c r="F1823" s="19" t="str">
        <f aca="false">IF($A1823="","",IF(ISNA(MATCH($H1823,Buffers!$AE:$AE,0)),"Not on Buffers",IF(NOT(ISNUMBER($B1823)),"Needs a date",IF(INT($B1823)&lt;PlanDate,"Past due",IF(INT($B1823)=PlanDate,"Due today",IF(AND(INDEX(Buffers!$L:$L,MATCH($H1823,Buffers!$AE:$AE,0))="Planned",$E1823&gt;0,INT($B1823)&lt;=PlanDate+ROUNDUP(IF(ISNUMBER(SpikeHorizon),SpikeHorizon,INDEX(Buffers!$D:$D,MATCH($H1823,Buffers!$AE:$AE,0))),0),$E1823&gt;=SpikePct*INDEX(Buffers!$P:$P,MATCH($H1823,Buffers!$AE:$AE,0))),"Spike","Not qualified"))))))</f>
        <v/>
      </c>
      <c r="G1823" s="8" t="str">
        <f aca="false">IF($A1823="","",IF(OR($F1823="Past due",$F1823="Due today",$F1823="Spike"),$C1823,0))</f>
        <v/>
      </c>
      <c r="H1823" s="8" t="str">
        <f aca="false">IF($A1823="","",SUBSTITUTE(SUBSTITUTE(SUBSTITUTE($A1823&amp;"","~","~~"),"*","~*"),"?","~?"))</f>
        <v/>
      </c>
    </row>
    <row r="1824" customFormat="false" ht="15" hidden="false" customHeight="false" outlineLevel="0" collapsed="false">
      <c r="A1824" s="11"/>
      <c r="B1824" s="6"/>
      <c r="C1824" s="11"/>
      <c r="D1824" s="11"/>
      <c r="E1824" s="8" t="str">
        <f aca="false">IF($A1824="","",SUMIFS($C:$C,$A:$A,$H1824,$B:$B,"&gt;="&amp;INT($B1824),$B:$B,"&lt;"&amp;(INT($B1824)+1)))</f>
        <v/>
      </c>
      <c r="F1824" s="19" t="str">
        <f aca="false">IF($A1824="","",IF(ISNA(MATCH($H1824,Buffers!$AE:$AE,0)),"Not on Buffers",IF(NOT(ISNUMBER($B1824)),"Needs a date",IF(INT($B1824)&lt;PlanDate,"Past due",IF(INT($B1824)=PlanDate,"Due today",IF(AND(INDEX(Buffers!$L:$L,MATCH($H1824,Buffers!$AE:$AE,0))="Planned",$E1824&gt;0,INT($B1824)&lt;=PlanDate+ROUNDUP(IF(ISNUMBER(SpikeHorizon),SpikeHorizon,INDEX(Buffers!$D:$D,MATCH($H1824,Buffers!$AE:$AE,0))),0),$E1824&gt;=SpikePct*INDEX(Buffers!$P:$P,MATCH($H1824,Buffers!$AE:$AE,0))),"Spike","Not qualified"))))))</f>
        <v/>
      </c>
      <c r="G1824" s="8" t="str">
        <f aca="false">IF($A1824="","",IF(OR($F1824="Past due",$F1824="Due today",$F1824="Spike"),$C1824,0))</f>
        <v/>
      </c>
      <c r="H1824" s="8" t="str">
        <f aca="false">IF($A1824="","",SUBSTITUTE(SUBSTITUTE(SUBSTITUTE($A1824&amp;"","~","~~"),"*","~*"),"?","~?"))</f>
        <v/>
      </c>
    </row>
    <row r="1825" customFormat="false" ht="15" hidden="false" customHeight="false" outlineLevel="0" collapsed="false">
      <c r="A1825" s="11"/>
      <c r="B1825" s="6"/>
      <c r="C1825" s="11"/>
      <c r="D1825" s="11"/>
      <c r="E1825" s="8" t="str">
        <f aca="false">IF($A1825="","",SUMIFS($C:$C,$A:$A,$H1825,$B:$B,"&gt;="&amp;INT($B1825),$B:$B,"&lt;"&amp;(INT($B1825)+1)))</f>
        <v/>
      </c>
      <c r="F1825" s="19" t="str">
        <f aca="false">IF($A1825="","",IF(ISNA(MATCH($H1825,Buffers!$AE:$AE,0)),"Not on Buffers",IF(NOT(ISNUMBER($B1825)),"Needs a date",IF(INT($B1825)&lt;PlanDate,"Past due",IF(INT($B1825)=PlanDate,"Due today",IF(AND(INDEX(Buffers!$L:$L,MATCH($H1825,Buffers!$AE:$AE,0))="Planned",$E1825&gt;0,INT($B1825)&lt;=PlanDate+ROUNDUP(IF(ISNUMBER(SpikeHorizon),SpikeHorizon,INDEX(Buffers!$D:$D,MATCH($H1825,Buffers!$AE:$AE,0))),0),$E1825&gt;=SpikePct*INDEX(Buffers!$P:$P,MATCH($H1825,Buffers!$AE:$AE,0))),"Spike","Not qualified"))))))</f>
        <v/>
      </c>
      <c r="G1825" s="8" t="str">
        <f aca="false">IF($A1825="","",IF(OR($F1825="Past due",$F1825="Due today",$F1825="Spike"),$C1825,0))</f>
        <v/>
      </c>
      <c r="H1825" s="8" t="str">
        <f aca="false">IF($A1825="","",SUBSTITUTE(SUBSTITUTE(SUBSTITUTE($A1825&amp;"","~","~~"),"*","~*"),"?","~?"))</f>
        <v/>
      </c>
    </row>
    <row r="1826" customFormat="false" ht="15" hidden="false" customHeight="false" outlineLevel="0" collapsed="false">
      <c r="A1826" s="11"/>
      <c r="B1826" s="6"/>
      <c r="C1826" s="11"/>
      <c r="D1826" s="11"/>
      <c r="E1826" s="8" t="str">
        <f aca="false">IF($A1826="","",SUMIFS($C:$C,$A:$A,$H1826,$B:$B,"&gt;="&amp;INT($B1826),$B:$B,"&lt;"&amp;(INT($B1826)+1)))</f>
        <v/>
      </c>
      <c r="F1826" s="19" t="str">
        <f aca="false">IF($A1826="","",IF(ISNA(MATCH($H1826,Buffers!$AE:$AE,0)),"Not on Buffers",IF(NOT(ISNUMBER($B1826)),"Needs a date",IF(INT($B1826)&lt;PlanDate,"Past due",IF(INT($B1826)=PlanDate,"Due today",IF(AND(INDEX(Buffers!$L:$L,MATCH($H1826,Buffers!$AE:$AE,0))="Planned",$E1826&gt;0,INT($B1826)&lt;=PlanDate+ROUNDUP(IF(ISNUMBER(SpikeHorizon),SpikeHorizon,INDEX(Buffers!$D:$D,MATCH($H1826,Buffers!$AE:$AE,0))),0),$E1826&gt;=SpikePct*INDEX(Buffers!$P:$P,MATCH($H1826,Buffers!$AE:$AE,0))),"Spike","Not qualified"))))))</f>
        <v/>
      </c>
      <c r="G1826" s="8" t="str">
        <f aca="false">IF($A1826="","",IF(OR($F1826="Past due",$F1826="Due today",$F1826="Spike"),$C1826,0))</f>
        <v/>
      </c>
      <c r="H1826" s="8" t="str">
        <f aca="false">IF($A1826="","",SUBSTITUTE(SUBSTITUTE(SUBSTITUTE($A1826&amp;"","~","~~"),"*","~*"),"?","~?"))</f>
        <v/>
      </c>
    </row>
    <row r="1827" customFormat="false" ht="15" hidden="false" customHeight="false" outlineLevel="0" collapsed="false">
      <c r="A1827" s="11"/>
      <c r="B1827" s="6"/>
      <c r="C1827" s="11"/>
      <c r="D1827" s="11"/>
      <c r="E1827" s="8" t="str">
        <f aca="false">IF($A1827="","",SUMIFS($C:$C,$A:$A,$H1827,$B:$B,"&gt;="&amp;INT($B1827),$B:$B,"&lt;"&amp;(INT($B1827)+1)))</f>
        <v/>
      </c>
      <c r="F1827" s="19" t="str">
        <f aca="false">IF($A1827="","",IF(ISNA(MATCH($H1827,Buffers!$AE:$AE,0)),"Not on Buffers",IF(NOT(ISNUMBER($B1827)),"Needs a date",IF(INT($B1827)&lt;PlanDate,"Past due",IF(INT($B1827)=PlanDate,"Due today",IF(AND(INDEX(Buffers!$L:$L,MATCH($H1827,Buffers!$AE:$AE,0))="Planned",$E1827&gt;0,INT($B1827)&lt;=PlanDate+ROUNDUP(IF(ISNUMBER(SpikeHorizon),SpikeHorizon,INDEX(Buffers!$D:$D,MATCH($H1827,Buffers!$AE:$AE,0))),0),$E1827&gt;=SpikePct*INDEX(Buffers!$P:$P,MATCH($H1827,Buffers!$AE:$AE,0))),"Spike","Not qualified"))))))</f>
        <v/>
      </c>
      <c r="G1827" s="8" t="str">
        <f aca="false">IF($A1827="","",IF(OR($F1827="Past due",$F1827="Due today",$F1827="Spike"),$C1827,0))</f>
        <v/>
      </c>
      <c r="H1827" s="8" t="str">
        <f aca="false">IF($A1827="","",SUBSTITUTE(SUBSTITUTE(SUBSTITUTE($A1827&amp;"","~","~~"),"*","~*"),"?","~?"))</f>
        <v/>
      </c>
    </row>
    <row r="1828" customFormat="false" ht="15" hidden="false" customHeight="false" outlineLevel="0" collapsed="false">
      <c r="A1828" s="11"/>
      <c r="B1828" s="6"/>
      <c r="C1828" s="11"/>
      <c r="D1828" s="11"/>
      <c r="E1828" s="8" t="str">
        <f aca="false">IF($A1828="","",SUMIFS($C:$C,$A:$A,$H1828,$B:$B,"&gt;="&amp;INT($B1828),$B:$B,"&lt;"&amp;(INT($B1828)+1)))</f>
        <v/>
      </c>
      <c r="F1828" s="19" t="str">
        <f aca="false">IF($A1828="","",IF(ISNA(MATCH($H1828,Buffers!$AE:$AE,0)),"Not on Buffers",IF(NOT(ISNUMBER($B1828)),"Needs a date",IF(INT($B1828)&lt;PlanDate,"Past due",IF(INT($B1828)=PlanDate,"Due today",IF(AND(INDEX(Buffers!$L:$L,MATCH($H1828,Buffers!$AE:$AE,0))="Planned",$E1828&gt;0,INT($B1828)&lt;=PlanDate+ROUNDUP(IF(ISNUMBER(SpikeHorizon),SpikeHorizon,INDEX(Buffers!$D:$D,MATCH($H1828,Buffers!$AE:$AE,0))),0),$E1828&gt;=SpikePct*INDEX(Buffers!$P:$P,MATCH($H1828,Buffers!$AE:$AE,0))),"Spike","Not qualified"))))))</f>
        <v/>
      </c>
      <c r="G1828" s="8" t="str">
        <f aca="false">IF($A1828="","",IF(OR($F1828="Past due",$F1828="Due today",$F1828="Spike"),$C1828,0))</f>
        <v/>
      </c>
      <c r="H1828" s="8" t="str">
        <f aca="false">IF($A1828="","",SUBSTITUTE(SUBSTITUTE(SUBSTITUTE($A1828&amp;"","~","~~"),"*","~*"),"?","~?"))</f>
        <v/>
      </c>
    </row>
    <row r="1829" customFormat="false" ht="15" hidden="false" customHeight="false" outlineLevel="0" collapsed="false">
      <c r="A1829" s="11"/>
      <c r="B1829" s="6"/>
      <c r="C1829" s="11"/>
      <c r="D1829" s="11"/>
      <c r="E1829" s="8" t="str">
        <f aca="false">IF($A1829="","",SUMIFS($C:$C,$A:$A,$H1829,$B:$B,"&gt;="&amp;INT($B1829),$B:$B,"&lt;"&amp;(INT($B1829)+1)))</f>
        <v/>
      </c>
      <c r="F1829" s="19" t="str">
        <f aca="false">IF($A1829="","",IF(ISNA(MATCH($H1829,Buffers!$AE:$AE,0)),"Not on Buffers",IF(NOT(ISNUMBER($B1829)),"Needs a date",IF(INT($B1829)&lt;PlanDate,"Past due",IF(INT($B1829)=PlanDate,"Due today",IF(AND(INDEX(Buffers!$L:$L,MATCH($H1829,Buffers!$AE:$AE,0))="Planned",$E1829&gt;0,INT($B1829)&lt;=PlanDate+ROUNDUP(IF(ISNUMBER(SpikeHorizon),SpikeHorizon,INDEX(Buffers!$D:$D,MATCH($H1829,Buffers!$AE:$AE,0))),0),$E1829&gt;=SpikePct*INDEX(Buffers!$P:$P,MATCH($H1829,Buffers!$AE:$AE,0))),"Spike","Not qualified"))))))</f>
        <v/>
      </c>
      <c r="G1829" s="8" t="str">
        <f aca="false">IF($A1829="","",IF(OR($F1829="Past due",$F1829="Due today",$F1829="Spike"),$C1829,0))</f>
        <v/>
      </c>
      <c r="H1829" s="8" t="str">
        <f aca="false">IF($A1829="","",SUBSTITUTE(SUBSTITUTE(SUBSTITUTE($A1829&amp;"","~","~~"),"*","~*"),"?","~?"))</f>
        <v/>
      </c>
    </row>
    <row r="1830" customFormat="false" ht="15" hidden="false" customHeight="false" outlineLevel="0" collapsed="false">
      <c r="A1830" s="11"/>
      <c r="B1830" s="6"/>
      <c r="C1830" s="11"/>
      <c r="D1830" s="11"/>
      <c r="E1830" s="8" t="str">
        <f aca="false">IF($A1830="","",SUMIFS($C:$C,$A:$A,$H1830,$B:$B,"&gt;="&amp;INT($B1830),$B:$B,"&lt;"&amp;(INT($B1830)+1)))</f>
        <v/>
      </c>
      <c r="F1830" s="19" t="str">
        <f aca="false">IF($A1830="","",IF(ISNA(MATCH($H1830,Buffers!$AE:$AE,0)),"Not on Buffers",IF(NOT(ISNUMBER($B1830)),"Needs a date",IF(INT($B1830)&lt;PlanDate,"Past due",IF(INT($B1830)=PlanDate,"Due today",IF(AND(INDEX(Buffers!$L:$L,MATCH($H1830,Buffers!$AE:$AE,0))="Planned",$E1830&gt;0,INT($B1830)&lt;=PlanDate+ROUNDUP(IF(ISNUMBER(SpikeHorizon),SpikeHorizon,INDEX(Buffers!$D:$D,MATCH($H1830,Buffers!$AE:$AE,0))),0),$E1830&gt;=SpikePct*INDEX(Buffers!$P:$P,MATCH($H1830,Buffers!$AE:$AE,0))),"Spike","Not qualified"))))))</f>
        <v/>
      </c>
      <c r="G1830" s="8" t="str">
        <f aca="false">IF($A1830="","",IF(OR($F1830="Past due",$F1830="Due today",$F1830="Spike"),$C1830,0))</f>
        <v/>
      </c>
      <c r="H1830" s="8" t="str">
        <f aca="false">IF($A1830="","",SUBSTITUTE(SUBSTITUTE(SUBSTITUTE($A1830&amp;"","~","~~"),"*","~*"),"?","~?"))</f>
        <v/>
      </c>
    </row>
    <row r="1831" customFormat="false" ht="15" hidden="false" customHeight="false" outlineLevel="0" collapsed="false">
      <c r="A1831" s="11"/>
      <c r="B1831" s="6"/>
      <c r="C1831" s="11"/>
      <c r="D1831" s="11"/>
      <c r="E1831" s="8" t="str">
        <f aca="false">IF($A1831="","",SUMIFS($C:$C,$A:$A,$H1831,$B:$B,"&gt;="&amp;INT($B1831),$B:$B,"&lt;"&amp;(INT($B1831)+1)))</f>
        <v/>
      </c>
      <c r="F1831" s="19" t="str">
        <f aca="false">IF($A1831="","",IF(ISNA(MATCH($H1831,Buffers!$AE:$AE,0)),"Not on Buffers",IF(NOT(ISNUMBER($B1831)),"Needs a date",IF(INT($B1831)&lt;PlanDate,"Past due",IF(INT($B1831)=PlanDate,"Due today",IF(AND(INDEX(Buffers!$L:$L,MATCH($H1831,Buffers!$AE:$AE,0))="Planned",$E1831&gt;0,INT($B1831)&lt;=PlanDate+ROUNDUP(IF(ISNUMBER(SpikeHorizon),SpikeHorizon,INDEX(Buffers!$D:$D,MATCH($H1831,Buffers!$AE:$AE,0))),0),$E1831&gt;=SpikePct*INDEX(Buffers!$P:$P,MATCH($H1831,Buffers!$AE:$AE,0))),"Spike","Not qualified"))))))</f>
        <v/>
      </c>
      <c r="G1831" s="8" t="str">
        <f aca="false">IF($A1831="","",IF(OR($F1831="Past due",$F1831="Due today",$F1831="Spike"),$C1831,0))</f>
        <v/>
      </c>
      <c r="H1831" s="8" t="str">
        <f aca="false">IF($A1831="","",SUBSTITUTE(SUBSTITUTE(SUBSTITUTE($A1831&amp;"","~","~~"),"*","~*"),"?","~?"))</f>
        <v/>
      </c>
    </row>
    <row r="1832" customFormat="false" ht="15" hidden="false" customHeight="false" outlineLevel="0" collapsed="false">
      <c r="A1832" s="11"/>
      <c r="B1832" s="6"/>
      <c r="C1832" s="11"/>
      <c r="D1832" s="11"/>
      <c r="E1832" s="8" t="str">
        <f aca="false">IF($A1832="","",SUMIFS($C:$C,$A:$A,$H1832,$B:$B,"&gt;="&amp;INT($B1832),$B:$B,"&lt;"&amp;(INT($B1832)+1)))</f>
        <v/>
      </c>
      <c r="F1832" s="19" t="str">
        <f aca="false">IF($A1832="","",IF(ISNA(MATCH($H1832,Buffers!$AE:$AE,0)),"Not on Buffers",IF(NOT(ISNUMBER($B1832)),"Needs a date",IF(INT($B1832)&lt;PlanDate,"Past due",IF(INT($B1832)=PlanDate,"Due today",IF(AND(INDEX(Buffers!$L:$L,MATCH($H1832,Buffers!$AE:$AE,0))="Planned",$E1832&gt;0,INT($B1832)&lt;=PlanDate+ROUNDUP(IF(ISNUMBER(SpikeHorizon),SpikeHorizon,INDEX(Buffers!$D:$D,MATCH($H1832,Buffers!$AE:$AE,0))),0),$E1832&gt;=SpikePct*INDEX(Buffers!$P:$P,MATCH($H1832,Buffers!$AE:$AE,0))),"Spike","Not qualified"))))))</f>
        <v/>
      </c>
      <c r="G1832" s="8" t="str">
        <f aca="false">IF($A1832="","",IF(OR($F1832="Past due",$F1832="Due today",$F1832="Spike"),$C1832,0))</f>
        <v/>
      </c>
      <c r="H1832" s="8" t="str">
        <f aca="false">IF($A1832="","",SUBSTITUTE(SUBSTITUTE(SUBSTITUTE($A1832&amp;"","~","~~"),"*","~*"),"?","~?"))</f>
        <v/>
      </c>
    </row>
    <row r="1833" customFormat="false" ht="15" hidden="false" customHeight="false" outlineLevel="0" collapsed="false">
      <c r="A1833" s="11"/>
      <c r="B1833" s="6"/>
      <c r="C1833" s="11"/>
      <c r="D1833" s="11"/>
      <c r="E1833" s="8" t="str">
        <f aca="false">IF($A1833="","",SUMIFS($C:$C,$A:$A,$H1833,$B:$B,"&gt;="&amp;INT($B1833),$B:$B,"&lt;"&amp;(INT($B1833)+1)))</f>
        <v/>
      </c>
      <c r="F1833" s="19" t="str">
        <f aca="false">IF($A1833="","",IF(ISNA(MATCH($H1833,Buffers!$AE:$AE,0)),"Not on Buffers",IF(NOT(ISNUMBER($B1833)),"Needs a date",IF(INT($B1833)&lt;PlanDate,"Past due",IF(INT($B1833)=PlanDate,"Due today",IF(AND(INDEX(Buffers!$L:$L,MATCH($H1833,Buffers!$AE:$AE,0))="Planned",$E1833&gt;0,INT($B1833)&lt;=PlanDate+ROUNDUP(IF(ISNUMBER(SpikeHorizon),SpikeHorizon,INDEX(Buffers!$D:$D,MATCH($H1833,Buffers!$AE:$AE,0))),0),$E1833&gt;=SpikePct*INDEX(Buffers!$P:$P,MATCH($H1833,Buffers!$AE:$AE,0))),"Spike","Not qualified"))))))</f>
        <v/>
      </c>
      <c r="G1833" s="8" t="str">
        <f aca="false">IF($A1833="","",IF(OR($F1833="Past due",$F1833="Due today",$F1833="Spike"),$C1833,0))</f>
        <v/>
      </c>
      <c r="H1833" s="8" t="str">
        <f aca="false">IF($A1833="","",SUBSTITUTE(SUBSTITUTE(SUBSTITUTE($A1833&amp;"","~","~~"),"*","~*"),"?","~?"))</f>
        <v/>
      </c>
    </row>
    <row r="1834" customFormat="false" ht="15" hidden="false" customHeight="false" outlineLevel="0" collapsed="false">
      <c r="A1834" s="11"/>
      <c r="B1834" s="6"/>
      <c r="C1834" s="11"/>
      <c r="D1834" s="11"/>
      <c r="E1834" s="8" t="str">
        <f aca="false">IF($A1834="","",SUMIFS($C:$C,$A:$A,$H1834,$B:$B,"&gt;="&amp;INT($B1834),$B:$B,"&lt;"&amp;(INT($B1834)+1)))</f>
        <v/>
      </c>
      <c r="F1834" s="19" t="str">
        <f aca="false">IF($A1834="","",IF(ISNA(MATCH($H1834,Buffers!$AE:$AE,0)),"Not on Buffers",IF(NOT(ISNUMBER($B1834)),"Needs a date",IF(INT($B1834)&lt;PlanDate,"Past due",IF(INT($B1834)=PlanDate,"Due today",IF(AND(INDEX(Buffers!$L:$L,MATCH($H1834,Buffers!$AE:$AE,0))="Planned",$E1834&gt;0,INT($B1834)&lt;=PlanDate+ROUNDUP(IF(ISNUMBER(SpikeHorizon),SpikeHorizon,INDEX(Buffers!$D:$D,MATCH($H1834,Buffers!$AE:$AE,0))),0),$E1834&gt;=SpikePct*INDEX(Buffers!$P:$P,MATCH($H1834,Buffers!$AE:$AE,0))),"Spike","Not qualified"))))))</f>
        <v/>
      </c>
      <c r="G1834" s="8" t="str">
        <f aca="false">IF($A1834="","",IF(OR($F1834="Past due",$F1834="Due today",$F1834="Spike"),$C1834,0))</f>
        <v/>
      </c>
      <c r="H1834" s="8" t="str">
        <f aca="false">IF($A1834="","",SUBSTITUTE(SUBSTITUTE(SUBSTITUTE($A1834&amp;"","~","~~"),"*","~*"),"?","~?"))</f>
        <v/>
      </c>
    </row>
    <row r="1835" customFormat="false" ht="15" hidden="false" customHeight="false" outlineLevel="0" collapsed="false">
      <c r="A1835" s="11"/>
      <c r="B1835" s="6"/>
      <c r="C1835" s="11"/>
      <c r="D1835" s="11"/>
      <c r="E1835" s="8" t="str">
        <f aca="false">IF($A1835="","",SUMIFS($C:$C,$A:$A,$H1835,$B:$B,"&gt;="&amp;INT($B1835),$B:$B,"&lt;"&amp;(INT($B1835)+1)))</f>
        <v/>
      </c>
      <c r="F1835" s="19" t="str">
        <f aca="false">IF($A1835="","",IF(ISNA(MATCH($H1835,Buffers!$AE:$AE,0)),"Not on Buffers",IF(NOT(ISNUMBER($B1835)),"Needs a date",IF(INT($B1835)&lt;PlanDate,"Past due",IF(INT($B1835)=PlanDate,"Due today",IF(AND(INDEX(Buffers!$L:$L,MATCH($H1835,Buffers!$AE:$AE,0))="Planned",$E1835&gt;0,INT($B1835)&lt;=PlanDate+ROUNDUP(IF(ISNUMBER(SpikeHorizon),SpikeHorizon,INDEX(Buffers!$D:$D,MATCH($H1835,Buffers!$AE:$AE,0))),0),$E1835&gt;=SpikePct*INDEX(Buffers!$P:$P,MATCH($H1835,Buffers!$AE:$AE,0))),"Spike","Not qualified"))))))</f>
        <v/>
      </c>
      <c r="G1835" s="8" t="str">
        <f aca="false">IF($A1835="","",IF(OR($F1835="Past due",$F1835="Due today",$F1835="Spike"),$C1835,0))</f>
        <v/>
      </c>
      <c r="H1835" s="8" t="str">
        <f aca="false">IF($A1835="","",SUBSTITUTE(SUBSTITUTE(SUBSTITUTE($A1835&amp;"","~","~~"),"*","~*"),"?","~?"))</f>
        <v/>
      </c>
    </row>
    <row r="1836" customFormat="false" ht="15" hidden="false" customHeight="false" outlineLevel="0" collapsed="false">
      <c r="A1836" s="11"/>
      <c r="B1836" s="6"/>
      <c r="C1836" s="11"/>
      <c r="D1836" s="11"/>
      <c r="E1836" s="8" t="str">
        <f aca="false">IF($A1836="","",SUMIFS($C:$C,$A:$A,$H1836,$B:$B,"&gt;="&amp;INT($B1836),$B:$B,"&lt;"&amp;(INT($B1836)+1)))</f>
        <v/>
      </c>
      <c r="F1836" s="19" t="str">
        <f aca="false">IF($A1836="","",IF(ISNA(MATCH($H1836,Buffers!$AE:$AE,0)),"Not on Buffers",IF(NOT(ISNUMBER($B1836)),"Needs a date",IF(INT($B1836)&lt;PlanDate,"Past due",IF(INT($B1836)=PlanDate,"Due today",IF(AND(INDEX(Buffers!$L:$L,MATCH($H1836,Buffers!$AE:$AE,0))="Planned",$E1836&gt;0,INT($B1836)&lt;=PlanDate+ROUNDUP(IF(ISNUMBER(SpikeHorizon),SpikeHorizon,INDEX(Buffers!$D:$D,MATCH($H1836,Buffers!$AE:$AE,0))),0),$E1836&gt;=SpikePct*INDEX(Buffers!$P:$P,MATCH($H1836,Buffers!$AE:$AE,0))),"Spike","Not qualified"))))))</f>
        <v/>
      </c>
      <c r="G1836" s="8" t="str">
        <f aca="false">IF($A1836="","",IF(OR($F1836="Past due",$F1836="Due today",$F1836="Spike"),$C1836,0))</f>
        <v/>
      </c>
      <c r="H1836" s="8" t="str">
        <f aca="false">IF($A1836="","",SUBSTITUTE(SUBSTITUTE(SUBSTITUTE($A1836&amp;"","~","~~"),"*","~*"),"?","~?"))</f>
        <v/>
      </c>
    </row>
    <row r="1837" customFormat="false" ht="15" hidden="false" customHeight="false" outlineLevel="0" collapsed="false">
      <c r="A1837" s="11"/>
      <c r="B1837" s="6"/>
      <c r="C1837" s="11"/>
      <c r="D1837" s="11"/>
      <c r="E1837" s="8" t="str">
        <f aca="false">IF($A1837="","",SUMIFS($C:$C,$A:$A,$H1837,$B:$B,"&gt;="&amp;INT($B1837),$B:$B,"&lt;"&amp;(INT($B1837)+1)))</f>
        <v/>
      </c>
      <c r="F1837" s="19" t="str">
        <f aca="false">IF($A1837="","",IF(ISNA(MATCH($H1837,Buffers!$AE:$AE,0)),"Not on Buffers",IF(NOT(ISNUMBER($B1837)),"Needs a date",IF(INT($B1837)&lt;PlanDate,"Past due",IF(INT($B1837)=PlanDate,"Due today",IF(AND(INDEX(Buffers!$L:$L,MATCH($H1837,Buffers!$AE:$AE,0))="Planned",$E1837&gt;0,INT($B1837)&lt;=PlanDate+ROUNDUP(IF(ISNUMBER(SpikeHorizon),SpikeHorizon,INDEX(Buffers!$D:$D,MATCH($H1837,Buffers!$AE:$AE,0))),0),$E1837&gt;=SpikePct*INDEX(Buffers!$P:$P,MATCH($H1837,Buffers!$AE:$AE,0))),"Spike","Not qualified"))))))</f>
        <v/>
      </c>
      <c r="G1837" s="8" t="str">
        <f aca="false">IF($A1837="","",IF(OR($F1837="Past due",$F1837="Due today",$F1837="Spike"),$C1837,0))</f>
        <v/>
      </c>
      <c r="H1837" s="8" t="str">
        <f aca="false">IF($A1837="","",SUBSTITUTE(SUBSTITUTE(SUBSTITUTE($A1837&amp;"","~","~~"),"*","~*"),"?","~?"))</f>
        <v/>
      </c>
    </row>
    <row r="1838" customFormat="false" ht="15" hidden="false" customHeight="false" outlineLevel="0" collapsed="false">
      <c r="A1838" s="11"/>
      <c r="B1838" s="6"/>
      <c r="C1838" s="11"/>
      <c r="D1838" s="11"/>
      <c r="E1838" s="8" t="str">
        <f aca="false">IF($A1838="","",SUMIFS($C:$C,$A:$A,$H1838,$B:$B,"&gt;="&amp;INT($B1838),$B:$B,"&lt;"&amp;(INT($B1838)+1)))</f>
        <v/>
      </c>
      <c r="F1838" s="19" t="str">
        <f aca="false">IF($A1838="","",IF(ISNA(MATCH($H1838,Buffers!$AE:$AE,0)),"Not on Buffers",IF(NOT(ISNUMBER($B1838)),"Needs a date",IF(INT($B1838)&lt;PlanDate,"Past due",IF(INT($B1838)=PlanDate,"Due today",IF(AND(INDEX(Buffers!$L:$L,MATCH($H1838,Buffers!$AE:$AE,0))="Planned",$E1838&gt;0,INT($B1838)&lt;=PlanDate+ROUNDUP(IF(ISNUMBER(SpikeHorizon),SpikeHorizon,INDEX(Buffers!$D:$D,MATCH($H1838,Buffers!$AE:$AE,0))),0),$E1838&gt;=SpikePct*INDEX(Buffers!$P:$P,MATCH($H1838,Buffers!$AE:$AE,0))),"Spike","Not qualified"))))))</f>
        <v/>
      </c>
      <c r="G1838" s="8" t="str">
        <f aca="false">IF($A1838="","",IF(OR($F1838="Past due",$F1838="Due today",$F1838="Spike"),$C1838,0))</f>
        <v/>
      </c>
      <c r="H1838" s="8" t="str">
        <f aca="false">IF($A1838="","",SUBSTITUTE(SUBSTITUTE(SUBSTITUTE($A1838&amp;"","~","~~"),"*","~*"),"?","~?"))</f>
        <v/>
      </c>
    </row>
    <row r="1839" customFormat="false" ht="15" hidden="false" customHeight="false" outlineLevel="0" collapsed="false">
      <c r="A1839" s="11"/>
      <c r="B1839" s="6"/>
      <c r="C1839" s="11"/>
      <c r="D1839" s="11"/>
      <c r="E1839" s="8" t="str">
        <f aca="false">IF($A1839="","",SUMIFS($C:$C,$A:$A,$H1839,$B:$B,"&gt;="&amp;INT($B1839),$B:$B,"&lt;"&amp;(INT($B1839)+1)))</f>
        <v/>
      </c>
      <c r="F1839" s="19" t="str">
        <f aca="false">IF($A1839="","",IF(ISNA(MATCH($H1839,Buffers!$AE:$AE,0)),"Not on Buffers",IF(NOT(ISNUMBER($B1839)),"Needs a date",IF(INT($B1839)&lt;PlanDate,"Past due",IF(INT($B1839)=PlanDate,"Due today",IF(AND(INDEX(Buffers!$L:$L,MATCH($H1839,Buffers!$AE:$AE,0))="Planned",$E1839&gt;0,INT($B1839)&lt;=PlanDate+ROUNDUP(IF(ISNUMBER(SpikeHorizon),SpikeHorizon,INDEX(Buffers!$D:$D,MATCH($H1839,Buffers!$AE:$AE,0))),0),$E1839&gt;=SpikePct*INDEX(Buffers!$P:$P,MATCH($H1839,Buffers!$AE:$AE,0))),"Spike","Not qualified"))))))</f>
        <v/>
      </c>
      <c r="G1839" s="8" t="str">
        <f aca="false">IF($A1839="","",IF(OR($F1839="Past due",$F1839="Due today",$F1839="Spike"),$C1839,0))</f>
        <v/>
      </c>
      <c r="H1839" s="8" t="str">
        <f aca="false">IF($A1839="","",SUBSTITUTE(SUBSTITUTE(SUBSTITUTE($A1839&amp;"","~","~~"),"*","~*"),"?","~?"))</f>
        <v/>
      </c>
    </row>
    <row r="1840" customFormat="false" ht="15" hidden="false" customHeight="false" outlineLevel="0" collapsed="false">
      <c r="A1840" s="11"/>
      <c r="B1840" s="6"/>
      <c r="C1840" s="11"/>
      <c r="D1840" s="11"/>
      <c r="E1840" s="8" t="str">
        <f aca="false">IF($A1840="","",SUMIFS($C:$C,$A:$A,$H1840,$B:$B,"&gt;="&amp;INT($B1840),$B:$B,"&lt;"&amp;(INT($B1840)+1)))</f>
        <v/>
      </c>
      <c r="F1840" s="19" t="str">
        <f aca="false">IF($A1840="","",IF(ISNA(MATCH($H1840,Buffers!$AE:$AE,0)),"Not on Buffers",IF(NOT(ISNUMBER($B1840)),"Needs a date",IF(INT($B1840)&lt;PlanDate,"Past due",IF(INT($B1840)=PlanDate,"Due today",IF(AND(INDEX(Buffers!$L:$L,MATCH($H1840,Buffers!$AE:$AE,0))="Planned",$E1840&gt;0,INT($B1840)&lt;=PlanDate+ROUNDUP(IF(ISNUMBER(SpikeHorizon),SpikeHorizon,INDEX(Buffers!$D:$D,MATCH($H1840,Buffers!$AE:$AE,0))),0),$E1840&gt;=SpikePct*INDEX(Buffers!$P:$P,MATCH($H1840,Buffers!$AE:$AE,0))),"Spike","Not qualified"))))))</f>
        <v/>
      </c>
      <c r="G1840" s="8" t="str">
        <f aca="false">IF($A1840="","",IF(OR($F1840="Past due",$F1840="Due today",$F1840="Spike"),$C1840,0))</f>
        <v/>
      </c>
      <c r="H1840" s="8" t="str">
        <f aca="false">IF($A1840="","",SUBSTITUTE(SUBSTITUTE(SUBSTITUTE($A1840&amp;"","~","~~"),"*","~*"),"?","~?"))</f>
        <v/>
      </c>
    </row>
    <row r="1841" customFormat="false" ht="15" hidden="false" customHeight="false" outlineLevel="0" collapsed="false">
      <c r="A1841" s="11"/>
      <c r="B1841" s="6"/>
      <c r="C1841" s="11"/>
      <c r="D1841" s="11"/>
      <c r="E1841" s="8" t="str">
        <f aca="false">IF($A1841="","",SUMIFS($C:$C,$A:$A,$H1841,$B:$B,"&gt;="&amp;INT($B1841),$B:$B,"&lt;"&amp;(INT($B1841)+1)))</f>
        <v/>
      </c>
      <c r="F1841" s="19" t="str">
        <f aca="false">IF($A1841="","",IF(ISNA(MATCH($H1841,Buffers!$AE:$AE,0)),"Not on Buffers",IF(NOT(ISNUMBER($B1841)),"Needs a date",IF(INT($B1841)&lt;PlanDate,"Past due",IF(INT($B1841)=PlanDate,"Due today",IF(AND(INDEX(Buffers!$L:$L,MATCH($H1841,Buffers!$AE:$AE,0))="Planned",$E1841&gt;0,INT($B1841)&lt;=PlanDate+ROUNDUP(IF(ISNUMBER(SpikeHorizon),SpikeHorizon,INDEX(Buffers!$D:$D,MATCH($H1841,Buffers!$AE:$AE,0))),0),$E1841&gt;=SpikePct*INDEX(Buffers!$P:$P,MATCH($H1841,Buffers!$AE:$AE,0))),"Spike","Not qualified"))))))</f>
        <v/>
      </c>
      <c r="G1841" s="8" t="str">
        <f aca="false">IF($A1841="","",IF(OR($F1841="Past due",$F1841="Due today",$F1841="Spike"),$C1841,0))</f>
        <v/>
      </c>
      <c r="H1841" s="8" t="str">
        <f aca="false">IF($A1841="","",SUBSTITUTE(SUBSTITUTE(SUBSTITUTE($A1841&amp;"","~","~~"),"*","~*"),"?","~?"))</f>
        <v/>
      </c>
    </row>
    <row r="1842" customFormat="false" ht="15" hidden="false" customHeight="false" outlineLevel="0" collapsed="false">
      <c r="A1842" s="11"/>
      <c r="B1842" s="6"/>
      <c r="C1842" s="11"/>
      <c r="D1842" s="11"/>
      <c r="E1842" s="8" t="str">
        <f aca="false">IF($A1842="","",SUMIFS($C:$C,$A:$A,$H1842,$B:$B,"&gt;="&amp;INT($B1842),$B:$B,"&lt;"&amp;(INT($B1842)+1)))</f>
        <v/>
      </c>
      <c r="F1842" s="19" t="str">
        <f aca="false">IF($A1842="","",IF(ISNA(MATCH($H1842,Buffers!$AE:$AE,0)),"Not on Buffers",IF(NOT(ISNUMBER($B1842)),"Needs a date",IF(INT($B1842)&lt;PlanDate,"Past due",IF(INT($B1842)=PlanDate,"Due today",IF(AND(INDEX(Buffers!$L:$L,MATCH($H1842,Buffers!$AE:$AE,0))="Planned",$E1842&gt;0,INT($B1842)&lt;=PlanDate+ROUNDUP(IF(ISNUMBER(SpikeHorizon),SpikeHorizon,INDEX(Buffers!$D:$D,MATCH($H1842,Buffers!$AE:$AE,0))),0),$E1842&gt;=SpikePct*INDEX(Buffers!$P:$P,MATCH($H1842,Buffers!$AE:$AE,0))),"Spike","Not qualified"))))))</f>
        <v/>
      </c>
      <c r="G1842" s="8" t="str">
        <f aca="false">IF($A1842="","",IF(OR($F1842="Past due",$F1842="Due today",$F1842="Spike"),$C1842,0))</f>
        <v/>
      </c>
      <c r="H1842" s="8" t="str">
        <f aca="false">IF($A1842="","",SUBSTITUTE(SUBSTITUTE(SUBSTITUTE($A1842&amp;"","~","~~"),"*","~*"),"?","~?"))</f>
        <v/>
      </c>
    </row>
    <row r="1843" customFormat="false" ht="15" hidden="false" customHeight="false" outlineLevel="0" collapsed="false">
      <c r="A1843" s="11"/>
      <c r="B1843" s="6"/>
      <c r="C1843" s="11"/>
      <c r="D1843" s="11"/>
      <c r="E1843" s="8" t="str">
        <f aca="false">IF($A1843="","",SUMIFS($C:$C,$A:$A,$H1843,$B:$B,"&gt;="&amp;INT($B1843),$B:$B,"&lt;"&amp;(INT($B1843)+1)))</f>
        <v/>
      </c>
      <c r="F1843" s="19" t="str">
        <f aca="false">IF($A1843="","",IF(ISNA(MATCH($H1843,Buffers!$AE:$AE,0)),"Not on Buffers",IF(NOT(ISNUMBER($B1843)),"Needs a date",IF(INT($B1843)&lt;PlanDate,"Past due",IF(INT($B1843)=PlanDate,"Due today",IF(AND(INDEX(Buffers!$L:$L,MATCH($H1843,Buffers!$AE:$AE,0))="Planned",$E1843&gt;0,INT($B1843)&lt;=PlanDate+ROUNDUP(IF(ISNUMBER(SpikeHorizon),SpikeHorizon,INDEX(Buffers!$D:$D,MATCH($H1843,Buffers!$AE:$AE,0))),0),$E1843&gt;=SpikePct*INDEX(Buffers!$P:$P,MATCH($H1843,Buffers!$AE:$AE,0))),"Spike","Not qualified"))))))</f>
        <v/>
      </c>
      <c r="G1843" s="8" t="str">
        <f aca="false">IF($A1843="","",IF(OR($F1843="Past due",$F1843="Due today",$F1843="Spike"),$C1843,0))</f>
        <v/>
      </c>
      <c r="H1843" s="8" t="str">
        <f aca="false">IF($A1843="","",SUBSTITUTE(SUBSTITUTE(SUBSTITUTE($A1843&amp;"","~","~~"),"*","~*"),"?","~?"))</f>
        <v/>
      </c>
    </row>
    <row r="1844" customFormat="false" ht="15" hidden="false" customHeight="false" outlineLevel="0" collapsed="false">
      <c r="A1844" s="11"/>
      <c r="B1844" s="6"/>
      <c r="C1844" s="11"/>
      <c r="D1844" s="11"/>
      <c r="E1844" s="8" t="str">
        <f aca="false">IF($A1844="","",SUMIFS($C:$C,$A:$A,$H1844,$B:$B,"&gt;="&amp;INT($B1844),$B:$B,"&lt;"&amp;(INT($B1844)+1)))</f>
        <v/>
      </c>
      <c r="F1844" s="19" t="str">
        <f aca="false">IF($A1844="","",IF(ISNA(MATCH($H1844,Buffers!$AE:$AE,0)),"Not on Buffers",IF(NOT(ISNUMBER($B1844)),"Needs a date",IF(INT($B1844)&lt;PlanDate,"Past due",IF(INT($B1844)=PlanDate,"Due today",IF(AND(INDEX(Buffers!$L:$L,MATCH($H1844,Buffers!$AE:$AE,0))="Planned",$E1844&gt;0,INT($B1844)&lt;=PlanDate+ROUNDUP(IF(ISNUMBER(SpikeHorizon),SpikeHorizon,INDEX(Buffers!$D:$D,MATCH($H1844,Buffers!$AE:$AE,0))),0),$E1844&gt;=SpikePct*INDEX(Buffers!$P:$P,MATCH($H1844,Buffers!$AE:$AE,0))),"Spike","Not qualified"))))))</f>
        <v/>
      </c>
      <c r="G1844" s="8" t="str">
        <f aca="false">IF($A1844="","",IF(OR($F1844="Past due",$F1844="Due today",$F1844="Spike"),$C1844,0))</f>
        <v/>
      </c>
      <c r="H1844" s="8" t="str">
        <f aca="false">IF($A1844="","",SUBSTITUTE(SUBSTITUTE(SUBSTITUTE($A1844&amp;"","~","~~"),"*","~*"),"?","~?"))</f>
        <v/>
      </c>
    </row>
    <row r="1845" customFormat="false" ht="15" hidden="false" customHeight="false" outlineLevel="0" collapsed="false">
      <c r="A1845" s="11"/>
      <c r="B1845" s="6"/>
      <c r="C1845" s="11"/>
      <c r="D1845" s="11"/>
      <c r="E1845" s="8" t="str">
        <f aca="false">IF($A1845="","",SUMIFS($C:$C,$A:$A,$H1845,$B:$B,"&gt;="&amp;INT($B1845),$B:$B,"&lt;"&amp;(INT($B1845)+1)))</f>
        <v/>
      </c>
      <c r="F1845" s="19" t="str">
        <f aca="false">IF($A1845="","",IF(ISNA(MATCH($H1845,Buffers!$AE:$AE,0)),"Not on Buffers",IF(NOT(ISNUMBER($B1845)),"Needs a date",IF(INT($B1845)&lt;PlanDate,"Past due",IF(INT($B1845)=PlanDate,"Due today",IF(AND(INDEX(Buffers!$L:$L,MATCH($H1845,Buffers!$AE:$AE,0))="Planned",$E1845&gt;0,INT($B1845)&lt;=PlanDate+ROUNDUP(IF(ISNUMBER(SpikeHorizon),SpikeHorizon,INDEX(Buffers!$D:$D,MATCH($H1845,Buffers!$AE:$AE,0))),0),$E1845&gt;=SpikePct*INDEX(Buffers!$P:$P,MATCH($H1845,Buffers!$AE:$AE,0))),"Spike","Not qualified"))))))</f>
        <v/>
      </c>
      <c r="G1845" s="8" t="str">
        <f aca="false">IF($A1845="","",IF(OR($F1845="Past due",$F1845="Due today",$F1845="Spike"),$C1845,0))</f>
        <v/>
      </c>
      <c r="H1845" s="8" t="str">
        <f aca="false">IF($A1845="","",SUBSTITUTE(SUBSTITUTE(SUBSTITUTE($A1845&amp;"","~","~~"),"*","~*"),"?","~?"))</f>
        <v/>
      </c>
    </row>
    <row r="1846" customFormat="false" ht="15" hidden="false" customHeight="false" outlineLevel="0" collapsed="false">
      <c r="A1846" s="11"/>
      <c r="B1846" s="6"/>
      <c r="C1846" s="11"/>
      <c r="D1846" s="11"/>
      <c r="E1846" s="8" t="str">
        <f aca="false">IF($A1846="","",SUMIFS($C:$C,$A:$A,$H1846,$B:$B,"&gt;="&amp;INT($B1846),$B:$B,"&lt;"&amp;(INT($B1846)+1)))</f>
        <v/>
      </c>
      <c r="F1846" s="19" t="str">
        <f aca="false">IF($A1846="","",IF(ISNA(MATCH($H1846,Buffers!$AE:$AE,0)),"Not on Buffers",IF(NOT(ISNUMBER($B1846)),"Needs a date",IF(INT($B1846)&lt;PlanDate,"Past due",IF(INT($B1846)=PlanDate,"Due today",IF(AND(INDEX(Buffers!$L:$L,MATCH($H1846,Buffers!$AE:$AE,0))="Planned",$E1846&gt;0,INT($B1846)&lt;=PlanDate+ROUNDUP(IF(ISNUMBER(SpikeHorizon),SpikeHorizon,INDEX(Buffers!$D:$D,MATCH($H1846,Buffers!$AE:$AE,0))),0),$E1846&gt;=SpikePct*INDEX(Buffers!$P:$P,MATCH($H1846,Buffers!$AE:$AE,0))),"Spike","Not qualified"))))))</f>
        <v/>
      </c>
      <c r="G1846" s="8" t="str">
        <f aca="false">IF($A1846="","",IF(OR($F1846="Past due",$F1846="Due today",$F1846="Spike"),$C1846,0))</f>
        <v/>
      </c>
      <c r="H1846" s="8" t="str">
        <f aca="false">IF($A1846="","",SUBSTITUTE(SUBSTITUTE(SUBSTITUTE($A1846&amp;"","~","~~"),"*","~*"),"?","~?"))</f>
        <v/>
      </c>
    </row>
    <row r="1847" customFormat="false" ht="15" hidden="false" customHeight="false" outlineLevel="0" collapsed="false">
      <c r="A1847" s="11"/>
      <c r="B1847" s="6"/>
      <c r="C1847" s="11"/>
      <c r="D1847" s="11"/>
      <c r="E1847" s="8" t="str">
        <f aca="false">IF($A1847="","",SUMIFS($C:$C,$A:$A,$H1847,$B:$B,"&gt;="&amp;INT($B1847),$B:$B,"&lt;"&amp;(INT($B1847)+1)))</f>
        <v/>
      </c>
      <c r="F1847" s="19" t="str">
        <f aca="false">IF($A1847="","",IF(ISNA(MATCH($H1847,Buffers!$AE:$AE,0)),"Not on Buffers",IF(NOT(ISNUMBER($B1847)),"Needs a date",IF(INT($B1847)&lt;PlanDate,"Past due",IF(INT($B1847)=PlanDate,"Due today",IF(AND(INDEX(Buffers!$L:$L,MATCH($H1847,Buffers!$AE:$AE,0))="Planned",$E1847&gt;0,INT($B1847)&lt;=PlanDate+ROUNDUP(IF(ISNUMBER(SpikeHorizon),SpikeHorizon,INDEX(Buffers!$D:$D,MATCH($H1847,Buffers!$AE:$AE,0))),0),$E1847&gt;=SpikePct*INDEX(Buffers!$P:$P,MATCH($H1847,Buffers!$AE:$AE,0))),"Spike","Not qualified"))))))</f>
        <v/>
      </c>
      <c r="G1847" s="8" t="str">
        <f aca="false">IF($A1847="","",IF(OR($F1847="Past due",$F1847="Due today",$F1847="Spike"),$C1847,0))</f>
        <v/>
      </c>
      <c r="H1847" s="8" t="str">
        <f aca="false">IF($A1847="","",SUBSTITUTE(SUBSTITUTE(SUBSTITUTE($A1847&amp;"","~","~~"),"*","~*"),"?","~?"))</f>
        <v/>
      </c>
    </row>
    <row r="1848" customFormat="false" ht="15" hidden="false" customHeight="false" outlineLevel="0" collapsed="false">
      <c r="A1848" s="11"/>
      <c r="B1848" s="6"/>
      <c r="C1848" s="11"/>
      <c r="D1848" s="11"/>
      <c r="E1848" s="8" t="str">
        <f aca="false">IF($A1848="","",SUMIFS($C:$C,$A:$A,$H1848,$B:$B,"&gt;="&amp;INT($B1848),$B:$B,"&lt;"&amp;(INT($B1848)+1)))</f>
        <v/>
      </c>
      <c r="F1848" s="19" t="str">
        <f aca="false">IF($A1848="","",IF(ISNA(MATCH($H1848,Buffers!$AE:$AE,0)),"Not on Buffers",IF(NOT(ISNUMBER($B1848)),"Needs a date",IF(INT($B1848)&lt;PlanDate,"Past due",IF(INT($B1848)=PlanDate,"Due today",IF(AND(INDEX(Buffers!$L:$L,MATCH($H1848,Buffers!$AE:$AE,0))="Planned",$E1848&gt;0,INT($B1848)&lt;=PlanDate+ROUNDUP(IF(ISNUMBER(SpikeHorizon),SpikeHorizon,INDEX(Buffers!$D:$D,MATCH($H1848,Buffers!$AE:$AE,0))),0),$E1848&gt;=SpikePct*INDEX(Buffers!$P:$P,MATCH($H1848,Buffers!$AE:$AE,0))),"Spike","Not qualified"))))))</f>
        <v/>
      </c>
      <c r="G1848" s="8" t="str">
        <f aca="false">IF($A1848="","",IF(OR($F1848="Past due",$F1848="Due today",$F1848="Spike"),$C1848,0))</f>
        <v/>
      </c>
      <c r="H1848" s="8" t="str">
        <f aca="false">IF($A1848="","",SUBSTITUTE(SUBSTITUTE(SUBSTITUTE($A1848&amp;"","~","~~"),"*","~*"),"?","~?"))</f>
        <v/>
      </c>
    </row>
    <row r="1849" customFormat="false" ht="15" hidden="false" customHeight="false" outlineLevel="0" collapsed="false">
      <c r="A1849" s="11"/>
      <c r="B1849" s="6"/>
      <c r="C1849" s="11"/>
      <c r="D1849" s="11"/>
      <c r="E1849" s="8" t="str">
        <f aca="false">IF($A1849="","",SUMIFS($C:$C,$A:$A,$H1849,$B:$B,"&gt;="&amp;INT($B1849),$B:$B,"&lt;"&amp;(INT($B1849)+1)))</f>
        <v/>
      </c>
      <c r="F1849" s="19" t="str">
        <f aca="false">IF($A1849="","",IF(ISNA(MATCH($H1849,Buffers!$AE:$AE,0)),"Not on Buffers",IF(NOT(ISNUMBER($B1849)),"Needs a date",IF(INT($B1849)&lt;PlanDate,"Past due",IF(INT($B1849)=PlanDate,"Due today",IF(AND(INDEX(Buffers!$L:$L,MATCH($H1849,Buffers!$AE:$AE,0))="Planned",$E1849&gt;0,INT($B1849)&lt;=PlanDate+ROUNDUP(IF(ISNUMBER(SpikeHorizon),SpikeHorizon,INDEX(Buffers!$D:$D,MATCH($H1849,Buffers!$AE:$AE,0))),0),$E1849&gt;=SpikePct*INDEX(Buffers!$P:$P,MATCH($H1849,Buffers!$AE:$AE,0))),"Spike","Not qualified"))))))</f>
        <v/>
      </c>
      <c r="G1849" s="8" t="str">
        <f aca="false">IF($A1849="","",IF(OR($F1849="Past due",$F1849="Due today",$F1849="Spike"),$C1849,0))</f>
        <v/>
      </c>
      <c r="H1849" s="8" t="str">
        <f aca="false">IF($A1849="","",SUBSTITUTE(SUBSTITUTE(SUBSTITUTE($A1849&amp;"","~","~~"),"*","~*"),"?","~?"))</f>
        <v/>
      </c>
    </row>
    <row r="1850" customFormat="false" ht="15" hidden="false" customHeight="false" outlineLevel="0" collapsed="false">
      <c r="A1850" s="11"/>
      <c r="B1850" s="6"/>
      <c r="C1850" s="11"/>
      <c r="D1850" s="11"/>
      <c r="E1850" s="8" t="str">
        <f aca="false">IF($A1850="","",SUMIFS($C:$C,$A:$A,$H1850,$B:$B,"&gt;="&amp;INT($B1850),$B:$B,"&lt;"&amp;(INT($B1850)+1)))</f>
        <v/>
      </c>
      <c r="F1850" s="19" t="str">
        <f aca="false">IF($A1850="","",IF(ISNA(MATCH($H1850,Buffers!$AE:$AE,0)),"Not on Buffers",IF(NOT(ISNUMBER($B1850)),"Needs a date",IF(INT($B1850)&lt;PlanDate,"Past due",IF(INT($B1850)=PlanDate,"Due today",IF(AND(INDEX(Buffers!$L:$L,MATCH($H1850,Buffers!$AE:$AE,0))="Planned",$E1850&gt;0,INT($B1850)&lt;=PlanDate+ROUNDUP(IF(ISNUMBER(SpikeHorizon),SpikeHorizon,INDEX(Buffers!$D:$D,MATCH($H1850,Buffers!$AE:$AE,0))),0),$E1850&gt;=SpikePct*INDEX(Buffers!$P:$P,MATCH($H1850,Buffers!$AE:$AE,0))),"Spike","Not qualified"))))))</f>
        <v/>
      </c>
      <c r="G1850" s="8" t="str">
        <f aca="false">IF($A1850="","",IF(OR($F1850="Past due",$F1850="Due today",$F1850="Spike"),$C1850,0))</f>
        <v/>
      </c>
      <c r="H1850" s="8" t="str">
        <f aca="false">IF($A1850="","",SUBSTITUTE(SUBSTITUTE(SUBSTITUTE($A1850&amp;"","~","~~"),"*","~*"),"?","~?"))</f>
        <v/>
      </c>
    </row>
    <row r="1851" customFormat="false" ht="15" hidden="false" customHeight="false" outlineLevel="0" collapsed="false">
      <c r="A1851" s="11"/>
      <c r="B1851" s="6"/>
      <c r="C1851" s="11"/>
      <c r="D1851" s="11"/>
      <c r="E1851" s="8" t="str">
        <f aca="false">IF($A1851="","",SUMIFS($C:$C,$A:$A,$H1851,$B:$B,"&gt;="&amp;INT($B1851),$B:$B,"&lt;"&amp;(INT($B1851)+1)))</f>
        <v/>
      </c>
      <c r="F1851" s="19" t="str">
        <f aca="false">IF($A1851="","",IF(ISNA(MATCH($H1851,Buffers!$AE:$AE,0)),"Not on Buffers",IF(NOT(ISNUMBER($B1851)),"Needs a date",IF(INT($B1851)&lt;PlanDate,"Past due",IF(INT($B1851)=PlanDate,"Due today",IF(AND(INDEX(Buffers!$L:$L,MATCH($H1851,Buffers!$AE:$AE,0))="Planned",$E1851&gt;0,INT($B1851)&lt;=PlanDate+ROUNDUP(IF(ISNUMBER(SpikeHorizon),SpikeHorizon,INDEX(Buffers!$D:$D,MATCH($H1851,Buffers!$AE:$AE,0))),0),$E1851&gt;=SpikePct*INDEX(Buffers!$P:$P,MATCH($H1851,Buffers!$AE:$AE,0))),"Spike","Not qualified"))))))</f>
        <v/>
      </c>
      <c r="G1851" s="8" t="str">
        <f aca="false">IF($A1851="","",IF(OR($F1851="Past due",$F1851="Due today",$F1851="Spike"),$C1851,0))</f>
        <v/>
      </c>
      <c r="H1851" s="8" t="str">
        <f aca="false">IF($A1851="","",SUBSTITUTE(SUBSTITUTE(SUBSTITUTE($A1851&amp;"","~","~~"),"*","~*"),"?","~?"))</f>
        <v/>
      </c>
    </row>
    <row r="1852" customFormat="false" ht="15" hidden="false" customHeight="false" outlineLevel="0" collapsed="false">
      <c r="A1852" s="11"/>
      <c r="B1852" s="6"/>
      <c r="C1852" s="11"/>
      <c r="D1852" s="11"/>
      <c r="E1852" s="8" t="str">
        <f aca="false">IF($A1852="","",SUMIFS($C:$C,$A:$A,$H1852,$B:$B,"&gt;="&amp;INT($B1852),$B:$B,"&lt;"&amp;(INT($B1852)+1)))</f>
        <v/>
      </c>
      <c r="F1852" s="19" t="str">
        <f aca="false">IF($A1852="","",IF(ISNA(MATCH($H1852,Buffers!$AE:$AE,0)),"Not on Buffers",IF(NOT(ISNUMBER($B1852)),"Needs a date",IF(INT($B1852)&lt;PlanDate,"Past due",IF(INT($B1852)=PlanDate,"Due today",IF(AND(INDEX(Buffers!$L:$L,MATCH($H1852,Buffers!$AE:$AE,0))="Planned",$E1852&gt;0,INT($B1852)&lt;=PlanDate+ROUNDUP(IF(ISNUMBER(SpikeHorizon),SpikeHorizon,INDEX(Buffers!$D:$D,MATCH($H1852,Buffers!$AE:$AE,0))),0),$E1852&gt;=SpikePct*INDEX(Buffers!$P:$P,MATCH($H1852,Buffers!$AE:$AE,0))),"Spike","Not qualified"))))))</f>
        <v/>
      </c>
      <c r="G1852" s="8" t="str">
        <f aca="false">IF($A1852="","",IF(OR($F1852="Past due",$F1852="Due today",$F1852="Spike"),$C1852,0))</f>
        <v/>
      </c>
      <c r="H1852" s="8" t="str">
        <f aca="false">IF($A1852="","",SUBSTITUTE(SUBSTITUTE(SUBSTITUTE($A1852&amp;"","~","~~"),"*","~*"),"?","~?"))</f>
        <v/>
      </c>
    </row>
    <row r="1853" customFormat="false" ht="15" hidden="false" customHeight="false" outlineLevel="0" collapsed="false">
      <c r="A1853" s="11"/>
      <c r="B1853" s="6"/>
      <c r="C1853" s="11"/>
      <c r="D1853" s="11"/>
      <c r="E1853" s="8" t="str">
        <f aca="false">IF($A1853="","",SUMIFS($C:$C,$A:$A,$H1853,$B:$B,"&gt;="&amp;INT($B1853),$B:$B,"&lt;"&amp;(INT($B1853)+1)))</f>
        <v/>
      </c>
      <c r="F1853" s="19" t="str">
        <f aca="false">IF($A1853="","",IF(ISNA(MATCH($H1853,Buffers!$AE:$AE,0)),"Not on Buffers",IF(NOT(ISNUMBER($B1853)),"Needs a date",IF(INT($B1853)&lt;PlanDate,"Past due",IF(INT($B1853)=PlanDate,"Due today",IF(AND(INDEX(Buffers!$L:$L,MATCH($H1853,Buffers!$AE:$AE,0))="Planned",$E1853&gt;0,INT($B1853)&lt;=PlanDate+ROUNDUP(IF(ISNUMBER(SpikeHorizon),SpikeHorizon,INDEX(Buffers!$D:$D,MATCH($H1853,Buffers!$AE:$AE,0))),0),$E1853&gt;=SpikePct*INDEX(Buffers!$P:$P,MATCH($H1853,Buffers!$AE:$AE,0))),"Spike","Not qualified"))))))</f>
        <v/>
      </c>
      <c r="G1853" s="8" t="str">
        <f aca="false">IF($A1853="","",IF(OR($F1853="Past due",$F1853="Due today",$F1853="Spike"),$C1853,0))</f>
        <v/>
      </c>
      <c r="H1853" s="8" t="str">
        <f aca="false">IF($A1853="","",SUBSTITUTE(SUBSTITUTE(SUBSTITUTE($A1853&amp;"","~","~~"),"*","~*"),"?","~?"))</f>
        <v/>
      </c>
    </row>
    <row r="1854" customFormat="false" ht="15" hidden="false" customHeight="false" outlineLevel="0" collapsed="false">
      <c r="A1854" s="11"/>
      <c r="B1854" s="6"/>
      <c r="C1854" s="11"/>
      <c r="D1854" s="11"/>
      <c r="E1854" s="8" t="str">
        <f aca="false">IF($A1854="","",SUMIFS($C:$C,$A:$A,$H1854,$B:$B,"&gt;="&amp;INT($B1854),$B:$B,"&lt;"&amp;(INT($B1854)+1)))</f>
        <v/>
      </c>
      <c r="F1854" s="19" t="str">
        <f aca="false">IF($A1854="","",IF(ISNA(MATCH($H1854,Buffers!$AE:$AE,0)),"Not on Buffers",IF(NOT(ISNUMBER($B1854)),"Needs a date",IF(INT($B1854)&lt;PlanDate,"Past due",IF(INT($B1854)=PlanDate,"Due today",IF(AND(INDEX(Buffers!$L:$L,MATCH($H1854,Buffers!$AE:$AE,0))="Planned",$E1854&gt;0,INT($B1854)&lt;=PlanDate+ROUNDUP(IF(ISNUMBER(SpikeHorizon),SpikeHorizon,INDEX(Buffers!$D:$D,MATCH($H1854,Buffers!$AE:$AE,0))),0),$E1854&gt;=SpikePct*INDEX(Buffers!$P:$P,MATCH($H1854,Buffers!$AE:$AE,0))),"Spike","Not qualified"))))))</f>
        <v/>
      </c>
      <c r="G1854" s="8" t="str">
        <f aca="false">IF($A1854="","",IF(OR($F1854="Past due",$F1854="Due today",$F1854="Spike"),$C1854,0))</f>
        <v/>
      </c>
      <c r="H1854" s="8" t="str">
        <f aca="false">IF($A1854="","",SUBSTITUTE(SUBSTITUTE(SUBSTITUTE($A1854&amp;"","~","~~"),"*","~*"),"?","~?"))</f>
        <v/>
      </c>
    </row>
    <row r="1855" customFormat="false" ht="15" hidden="false" customHeight="false" outlineLevel="0" collapsed="false">
      <c r="A1855" s="11"/>
      <c r="B1855" s="6"/>
      <c r="C1855" s="11"/>
      <c r="D1855" s="11"/>
      <c r="E1855" s="8" t="str">
        <f aca="false">IF($A1855="","",SUMIFS($C:$C,$A:$A,$H1855,$B:$B,"&gt;="&amp;INT($B1855),$B:$B,"&lt;"&amp;(INT($B1855)+1)))</f>
        <v/>
      </c>
      <c r="F1855" s="19" t="str">
        <f aca="false">IF($A1855="","",IF(ISNA(MATCH($H1855,Buffers!$AE:$AE,0)),"Not on Buffers",IF(NOT(ISNUMBER($B1855)),"Needs a date",IF(INT($B1855)&lt;PlanDate,"Past due",IF(INT($B1855)=PlanDate,"Due today",IF(AND(INDEX(Buffers!$L:$L,MATCH($H1855,Buffers!$AE:$AE,0))="Planned",$E1855&gt;0,INT($B1855)&lt;=PlanDate+ROUNDUP(IF(ISNUMBER(SpikeHorizon),SpikeHorizon,INDEX(Buffers!$D:$D,MATCH($H1855,Buffers!$AE:$AE,0))),0),$E1855&gt;=SpikePct*INDEX(Buffers!$P:$P,MATCH($H1855,Buffers!$AE:$AE,0))),"Spike","Not qualified"))))))</f>
        <v/>
      </c>
      <c r="G1855" s="8" t="str">
        <f aca="false">IF($A1855="","",IF(OR($F1855="Past due",$F1855="Due today",$F1855="Spike"),$C1855,0))</f>
        <v/>
      </c>
      <c r="H1855" s="8" t="str">
        <f aca="false">IF($A1855="","",SUBSTITUTE(SUBSTITUTE(SUBSTITUTE($A1855&amp;"","~","~~"),"*","~*"),"?","~?"))</f>
        <v/>
      </c>
    </row>
    <row r="1856" customFormat="false" ht="15" hidden="false" customHeight="false" outlineLevel="0" collapsed="false">
      <c r="A1856" s="11"/>
      <c r="B1856" s="6"/>
      <c r="C1856" s="11"/>
      <c r="D1856" s="11"/>
      <c r="E1856" s="8" t="str">
        <f aca="false">IF($A1856="","",SUMIFS($C:$C,$A:$A,$H1856,$B:$B,"&gt;="&amp;INT($B1856),$B:$B,"&lt;"&amp;(INT($B1856)+1)))</f>
        <v/>
      </c>
      <c r="F1856" s="19" t="str">
        <f aca="false">IF($A1856="","",IF(ISNA(MATCH($H1856,Buffers!$AE:$AE,0)),"Not on Buffers",IF(NOT(ISNUMBER($B1856)),"Needs a date",IF(INT($B1856)&lt;PlanDate,"Past due",IF(INT($B1856)=PlanDate,"Due today",IF(AND(INDEX(Buffers!$L:$L,MATCH($H1856,Buffers!$AE:$AE,0))="Planned",$E1856&gt;0,INT($B1856)&lt;=PlanDate+ROUNDUP(IF(ISNUMBER(SpikeHorizon),SpikeHorizon,INDEX(Buffers!$D:$D,MATCH($H1856,Buffers!$AE:$AE,0))),0),$E1856&gt;=SpikePct*INDEX(Buffers!$P:$P,MATCH($H1856,Buffers!$AE:$AE,0))),"Spike","Not qualified"))))))</f>
        <v/>
      </c>
      <c r="G1856" s="8" t="str">
        <f aca="false">IF($A1856="","",IF(OR($F1856="Past due",$F1856="Due today",$F1856="Spike"),$C1856,0))</f>
        <v/>
      </c>
      <c r="H1856" s="8" t="str">
        <f aca="false">IF($A1856="","",SUBSTITUTE(SUBSTITUTE(SUBSTITUTE($A1856&amp;"","~","~~"),"*","~*"),"?","~?"))</f>
        <v/>
      </c>
    </row>
    <row r="1857" customFormat="false" ht="15" hidden="false" customHeight="false" outlineLevel="0" collapsed="false">
      <c r="A1857" s="11"/>
      <c r="B1857" s="6"/>
      <c r="C1857" s="11"/>
      <c r="D1857" s="11"/>
      <c r="E1857" s="8" t="str">
        <f aca="false">IF($A1857="","",SUMIFS($C:$C,$A:$A,$H1857,$B:$B,"&gt;="&amp;INT($B1857),$B:$B,"&lt;"&amp;(INT($B1857)+1)))</f>
        <v/>
      </c>
      <c r="F1857" s="19" t="str">
        <f aca="false">IF($A1857="","",IF(ISNA(MATCH($H1857,Buffers!$AE:$AE,0)),"Not on Buffers",IF(NOT(ISNUMBER($B1857)),"Needs a date",IF(INT($B1857)&lt;PlanDate,"Past due",IF(INT($B1857)=PlanDate,"Due today",IF(AND(INDEX(Buffers!$L:$L,MATCH($H1857,Buffers!$AE:$AE,0))="Planned",$E1857&gt;0,INT($B1857)&lt;=PlanDate+ROUNDUP(IF(ISNUMBER(SpikeHorizon),SpikeHorizon,INDEX(Buffers!$D:$D,MATCH($H1857,Buffers!$AE:$AE,0))),0),$E1857&gt;=SpikePct*INDEX(Buffers!$P:$P,MATCH($H1857,Buffers!$AE:$AE,0))),"Spike","Not qualified"))))))</f>
        <v/>
      </c>
      <c r="G1857" s="8" t="str">
        <f aca="false">IF($A1857="","",IF(OR($F1857="Past due",$F1857="Due today",$F1857="Spike"),$C1857,0))</f>
        <v/>
      </c>
      <c r="H1857" s="8" t="str">
        <f aca="false">IF($A1857="","",SUBSTITUTE(SUBSTITUTE(SUBSTITUTE($A1857&amp;"","~","~~"),"*","~*"),"?","~?"))</f>
        <v/>
      </c>
    </row>
    <row r="1858" customFormat="false" ht="15" hidden="false" customHeight="false" outlineLevel="0" collapsed="false">
      <c r="A1858" s="11"/>
      <c r="B1858" s="6"/>
      <c r="C1858" s="11"/>
      <c r="D1858" s="11"/>
      <c r="E1858" s="8" t="str">
        <f aca="false">IF($A1858="","",SUMIFS($C:$C,$A:$A,$H1858,$B:$B,"&gt;="&amp;INT($B1858),$B:$B,"&lt;"&amp;(INT($B1858)+1)))</f>
        <v/>
      </c>
      <c r="F1858" s="19" t="str">
        <f aca="false">IF($A1858="","",IF(ISNA(MATCH($H1858,Buffers!$AE:$AE,0)),"Not on Buffers",IF(NOT(ISNUMBER($B1858)),"Needs a date",IF(INT($B1858)&lt;PlanDate,"Past due",IF(INT($B1858)=PlanDate,"Due today",IF(AND(INDEX(Buffers!$L:$L,MATCH($H1858,Buffers!$AE:$AE,0))="Planned",$E1858&gt;0,INT($B1858)&lt;=PlanDate+ROUNDUP(IF(ISNUMBER(SpikeHorizon),SpikeHorizon,INDEX(Buffers!$D:$D,MATCH($H1858,Buffers!$AE:$AE,0))),0),$E1858&gt;=SpikePct*INDEX(Buffers!$P:$P,MATCH($H1858,Buffers!$AE:$AE,0))),"Spike","Not qualified"))))))</f>
        <v/>
      </c>
      <c r="G1858" s="8" t="str">
        <f aca="false">IF($A1858="","",IF(OR($F1858="Past due",$F1858="Due today",$F1858="Spike"),$C1858,0))</f>
        <v/>
      </c>
      <c r="H1858" s="8" t="str">
        <f aca="false">IF($A1858="","",SUBSTITUTE(SUBSTITUTE(SUBSTITUTE($A1858&amp;"","~","~~"),"*","~*"),"?","~?"))</f>
        <v/>
      </c>
    </row>
    <row r="1859" customFormat="false" ht="15" hidden="false" customHeight="false" outlineLevel="0" collapsed="false">
      <c r="A1859" s="11"/>
      <c r="B1859" s="6"/>
      <c r="C1859" s="11"/>
      <c r="D1859" s="11"/>
      <c r="E1859" s="8" t="str">
        <f aca="false">IF($A1859="","",SUMIFS($C:$C,$A:$A,$H1859,$B:$B,"&gt;="&amp;INT($B1859),$B:$B,"&lt;"&amp;(INT($B1859)+1)))</f>
        <v/>
      </c>
      <c r="F1859" s="19" t="str">
        <f aca="false">IF($A1859="","",IF(ISNA(MATCH($H1859,Buffers!$AE:$AE,0)),"Not on Buffers",IF(NOT(ISNUMBER($B1859)),"Needs a date",IF(INT($B1859)&lt;PlanDate,"Past due",IF(INT($B1859)=PlanDate,"Due today",IF(AND(INDEX(Buffers!$L:$L,MATCH($H1859,Buffers!$AE:$AE,0))="Planned",$E1859&gt;0,INT($B1859)&lt;=PlanDate+ROUNDUP(IF(ISNUMBER(SpikeHorizon),SpikeHorizon,INDEX(Buffers!$D:$D,MATCH($H1859,Buffers!$AE:$AE,0))),0),$E1859&gt;=SpikePct*INDEX(Buffers!$P:$P,MATCH($H1859,Buffers!$AE:$AE,0))),"Spike","Not qualified"))))))</f>
        <v/>
      </c>
      <c r="G1859" s="8" t="str">
        <f aca="false">IF($A1859="","",IF(OR($F1859="Past due",$F1859="Due today",$F1859="Spike"),$C1859,0))</f>
        <v/>
      </c>
      <c r="H1859" s="8" t="str">
        <f aca="false">IF($A1859="","",SUBSTITUTE(SUBSTITUTE(SUBSTITUTE($A1859&amp;"","~","~~"),"*","~*"),"?","~?"))</f>
        <v/>
      </c>
    </row>
    <row r="1860" customFormat="false" ht="15" hidden="false" customHeight="false" outlineLevel="0" collapsed="false">
      <c r="A1860" s="11"/>
      <c r="B1860" s="6"/>
      <c r="C1860" s="11"/>
      <c r="D1860" s="11"/>
      <c r="E1860" s="8" t="str">
        <f aca="false">IF($A1860="","",SUMIFS($C:$C,$A:$A,$H1860,$B:$B,"&gt;="&amp;INT($B1860),$B:$B,"&lt;"&amp;(INT($B1860)+1)))</f>
        <v/>
      </c>
      <c r="F1860" s="19" t="str">
        <f aca="false">IF($A1860="","",IF(ISNA(MATCH($H1860,Buffers!$AE:$AE,0)),"Not on Buffers",IF(NOT(ISNUMBER($B1860)),"Needs a date",IF(INT($B1860)&lt;PlanDate,"Past due",IF(INT($B1860)=PlanDate,"Due today",IF(AND(INDEX(Buffers!$L:$L,MATCH($H1860,Buffers!$AE:$AE,0))="Planned",$E1860&gt;0,INT($B1860)&lt;=PlanDate+ROUNDUP(IF(ISNUMBER(SpikeHorizon),SpikeHorizon,INDEX(Buffers!$D:$D,MATCH($H1860,Buffers!$AE:$AE,0))),0),$E1860&gt;=SpikePct*INDEX(Buffers!$P:$P,MATCH($H1860,Buffers!$AE:$AE,0))),"Spike","Not qualified"))))))</f>
        <v/>
      </c>
      <c r="G1860" s="8" t="str">
        <f aca="false">IF($A1860="","",IF(OR($F1860="Past due",$F1860="Due today",$F1860="Spike"),$C1860,0))</f>
        <v/>
      </c>
      <c r="H1860" s="8" t="str">
        <f aca="false">IF($A1860="","",SUBSTITUTE(SUBSTITUTE(SUBSTITUTE($A1860&amp;"","~","~~"),"*","~*"),"?","~?"))</f>
        <v/>
      </c>
    </row>
    <row r="1861" customFormat="false" ht="15" hidden="false" customHeight="false" outlineLevel="0" collapsed="false">
      <c r="A1861" s="11"/>
      <c r="B1861" s="6"/>
      <c r="C1861" s="11"/>
      <c r="D1861" s="11"/>
      <c r="E1861" s="8" t="str">
        <f aca="false">IF($A1861="","",SUMIFS($C:$C,$A:$A,$H1861,$B:$B,"&gt;="&amp;INT($B1861),$B:$B,"&lt;"&amp;(INT($B1861)+1)))</f>
        <v/>
      </c>
      <c r="F1861" s="19" t="str">
        <f aca="false">IF($A1861="","",IF(ISNA(MATCH($H1861,Buffers!$AE:$AE,0)),"Not on Buffers",IF(NOT(ISNUMBER($B1861)),"Needs a date",IF(INT($B1861)&lt;PlanDate,"Past due",IF(INT($B1861)=PlanDate,"Due today",IF(AND(INDEX(Buffers!$L:$L,MATCH($H1861,Buffers!$AE:$AE,0))="Planned",$E1861&gt;0,INT($B1861)&lt;=PlanDate+ROUNDUP(IF(ISNUMBER(SpikeHorizon),SpikeHorizon,INDEX(Buffers!$D:$D,MATCH($H1861,Buffers!$AE:$AE,0))),0),$E1861&gt;=SpikePct*INDEX(Buffers!$P:$P,MATCH($H1861,Buffers!$AE:$AE,0))),"Spike","Not qualified"))))))</f>
        <v/>
      </c>
      <c r="G1861" s="8" t="str">
        <f aca="false">IF($A1861="","",IF(OR($F1861="Past due",$F1861="Due today",$F1861="Spike"),$C1861,0))</f>
        <v/>
      </c>
      <c r="H1861" s="8" t="str">
        <f aca="false">IF($A1861="","",SUBSTITUTE(SUBSTITUTE(SUBSTITUTE($A1861&amp;"","~","~~"),"*","~*"),"?","~?"))</f>
        <v/>
      </c>
    </row>
    <row r="1862" customFormat="false" ht="15" hidden="false" customHeight="false" outlineLevel="0" collapsed="false">
      <c r="A1862" s="11"/>
      <c r="B1862" s="6"/>
      <c r="C1862" s="11"/>
      <c r="D1862" s="11"/>
      <c r="E1862" s="8" t="str">
        <f aca="false">IF($A1862="","",SUMIFS($C:$C,$A:$A,$H1862,$B:$B,"&gt;="&amp;INT($B1862),$B:$B,"&lt;"&amp;(INT($B1862)+1)))</f>
        <v/>
      </c>
      <c r="F1862" s="19" t="str">
        <f aca="false">IF($A1862="","",IF(ISNA(MATCH($H1862,Buffers!$AE:$AE,0)),"Not on Buffers",IF(NOT(ISNUMBER($B1862)),"Needs a date",IF(INT($B1862)&lt;PlanDate,"Past due",IF(INT($B1862)=PlanDate,"Due today",IF(AND(INDEX(Buffers!$L:$L,MATCH($H1862,Buffers!$AE:$AE,0))="Planned",$E1862&gt;0,INT($B1862)&lt;=PlanDate+ROUNDUP(IF(ISNUMBER(SpikeHorizon),SpikeHorizon,INDEX(Buffers!$D:$D,MATCH($H1862,Buffers!$AE:$AE,0))),0),$E1862&gt;=SpikePct*INDEX(Buffers!$P:$P,MATCH($H1862,Buffers!$AE:$AE,0))),"Spike","Not qualified"))))))</f>
        <v/>
      </c>
      <c r="G1862" s="8" t="str">
        <f aca="false">IF($A1862="","",IF(OR($F1862="Past due",$F1862="Due today",$F1862="Spike"),$C1862,0))</f>
        <v/>
      </c>
      <c r="H1862" s="8" t="str">
        <f aca="false">IF($A1862="","",SUBSTITUTE(SUBSTITUTE(SUBSTITUTE($A1862&amp;"","~","~~"),"*","~*"),"?","~?"))</f>
        <v/>
      </c>
    </row>
    <row r="1863" customFormat="false" ht="15" hidden="false" customHeight="false" outlineLevel="0" collapsed="false">
      <c r="A1863" s="11"/>
      <c r="B1863" s="6"/>
      <c r="C1863" s="11"/>
      <c r="D1863" s="11"/>
      <c r="E1863" s="8" t="str">
        <f aca="false">IF($A1863="","",SUMIFS($C:$C,$A:$A,$H1863,$B:$B,"&gt;="&amp;INT($B1863),$B:$B,"&lt;"&amp;(INT($B1863)+1)))</f>
        <v/>
      </c>
      <c r="F1863" s="19" t="str">
        <f aca="false">IF($A1863="","",IF(ISNA(MATCH($H1863,Buffers!$AE:$AE,0)),"Not on Buffers",IF(NOT(ISNUMBER($B1863)),"Needs a date",IF(INT($B1863)&lt;PlanDate,"Past due",IF(INT($B1863)=PlanDate,"Due today",IF(AND(INDEX(Buffers!$L:$L,MATCH($H1863,Buffers!$AE:$AE,0))="Planned",$E1863&gt;0,INT($B1863)&lt;=PlanDate+ROUNDUP(IF(ISNUMBER(SpikeHorizon),SpikeHorizon,INDEX(Buffers!$D:$D,MATCH($H1863,Buffers!$AE:$AE,0))),0),$E1863&gt;=SpikePct*INDEX(Buffers!$P:$P,MATCH($H1863,Buffers!$AE:$AE,0))),"Spike","Not qualified"))))))</f>
        <v/>
      </c>
      <c r="G1863" s="8" t="str">
        <f aca="false">IF($A1863="","",IF(OR($F1863="Past due",$F1863="Due today",$F1863="Spike"),$C1863,0))</f>
        <v/>
      </c>
      <c r="H1863" s="8" t="str">
        <f aca="false">IF($A1863="","",SUBSTITUTE(SUBSTITUTE(SUBSTITUTE($A1863&amp;"","~","~~"),"*","~*"),"?","~?"))</f>
        <v/>
      </c>
    </row>
    <row r="1864" customFormat="false" ht="15" hidden="false" customHeight="false" outlineLevel="0" collapsed="false">
      <c r="A1864" s="11"/>
      <c r="B1864" s="6"/>
      <c r="C1864" s="11"/>
      <c r="D1864" s="11"/>
      <c r="E1864" s="8" t="str">
        <f aca="false">IF($A1864="","",SUMIFS($C:$C,$A:$A,$H1864,$B:$B,"&gt;="&amp;INT($B1864),$B:$B,"&lt;"&amp;(INT($B1864)+1)))</f>
        <v/>
      </c>
      <c r="F1864" s="19" t="str">
        <f aca="false">IF($A1864="","",IF(ISNA(MATCH($H1864,Buffers!$AE:$AE,0)),"Not on Buffers",IF(NOT(ISNUMBER($B1864)),"Needs a date",IF(INT($B1864)&lt;PlanDate,"Past due",IF(INT($B1864)=PlanDate,"Due today",IF(AND(INDEX(Buffers!$L:$L,MATCH($H1864,Buffers!$AE:$AE,0))="Planned",$E1864&gt;0,INT($B1864)&lt;=PlanDate+ROUNDUP(IF(ISNUMBER(SpikeHorizon),SpikeHorizon,INDEX(Buffers!$D:$D,MATCH($H1864,Buffers!$AE:$AE,0))),0),$E1864&gt;=SpikePct*INDEX(Buffers!$P:$P,MATCH($H1864,Buffers!$AE:$AE,0))),"Spike","Not qualified"))))))</f>
        <v/>
      </c>
      <c r="G1864" s="8" t="str">
        <f aca="false">IF($A1864="","",IF(OR($F1864="Past due",$F1864="Due today",$F1864="Spike"),$C1864,0))</f>
        <v/>
      </c>
      <c r="H1864" s="8" t="str">
        <f aca="false">IF($A1864="","",SUBSTITUTE(SUBSTITUTE(SUBSTITUTE($A1864&amp;"","~","~~"),"*","~*"),"?","~?"))</f>
        <v/>
      </c>
    </row>
    <row r="1865" customFormat="false" ht="15" hidden="false" customHeight="false" outlineLevel="0" collapsed="false">
      <c r="A1865" s="11"/>
      <c r="B1865" s="6"/>
      <c r="C1865" s="11"/>
      <c r="D1865" s="11"/>
      <c r="E1865" s="8" t="str">
        <f aca="false">IF($A1865="","",SUMIFS($C:$C,$A:$A,$H1865,$B:$B,"&gt;="&amp;INT($B1865),$B:$B,"&lt;"&amp;(INT($B1865)+1)))</f>
        <v/>
      </c>
      <c r="F1865" s="19" t="str">
        <f aca="false">IF($A1865="","",IF(ISNA(MATCH($H1865,Buffers!$AE:$AE,0)),"Not on Buffers",IF(NOT(ISNUMBER($B1865)),"Needs a date",IF(INT($B1865)&lt;PlanDate,"Past due",IF(INT($B1865)=PlanDate,"Due today",IF(AND(INDEX(Buffers!$L:$L,MATCH($H1865,Buffers!$AE:$AE,0))="Planned",$E1865&gt;0,INT($B1865)&lt;=PlanDate+ROUNDUP(IF(ISNUMBER(SpikeHorizon),SpikeHorizon,INDEX(Buffers!$D:$D,MATCH($H1865,Buffers!$AE:$AE,0))),0),$E1865&gt;=SpikePct*INDEX(Buffers!$P:$P,MATCH($H1865,Buffers!$AE:$AE,0))),"Spike","Not qualified"))))))</f>
        <v/>
      </c>
      <c r="G1865" s="8" t="str">
        <f aca="false">IF($A1865="","",IF(OR($F1865="Past due",$F1865="Due today",$F1865="Spike"),$C1865,0))</f>
        <v/>
      </c>
      <c r="H1865" s="8" t="str">
        <f aca="false">IF($A1865="","",SUBSTITUTE(SUBSTITUTE(SUBSTITUTE($A1865&amp;"","~","~~"),"*","~*"),"?","~?"))</f>
        <v/>
      </c>
    </row>
    <row r="1866" customFormat="false" ht="15" hidden="false" customHeight="false" outlineLevel="0" collapsed="false">
      <c r="A1866" s="11"/>
      <c r="B1866" s="6"/>
      <c r="C1866" s="11"/>
      <c r="D1866" s="11"/>
      <c r="E1866" s="8" t="str">
        <f aca="false">IF($A1866="","",SUMIFS($C:$C,$A:$A,$H1866,$B:$B,"&gt;="&amp;INT($B1866),$B:$B,"&lt;"&amp;(INT($B1866)+1)))</f>
        <v/>
      </c>
      <c r="F1866" s="19" t="str">
        <f aca="false">IF($A1866="","",IF(ISNA(MATCH($H1866,Buffers!$AE:$AE,0)),"Not on Buffers",IF(NOT(ISNUMBER($B1866)),"Needs a date",IF(INT($B1866)&lt;PlanDate,"Past due",IF(INT($B1866)=PlanDate,"Due today",IF(AND(INDEX(Buffers!$L:$L,MATCH($H1866,Buffers!$AE:$AE,0))="Planned",$E1866&gt;0,INT($B1866)&lt;=PlanDate+ROUNDUP(IF(ISNUMBER(SpikeHorizon),SpikeHorizon,INDEX(Buffers!$D:$D,MATCH($H1866,Buffers!$AE:$AE,0))),0),$E1866&gt;=SpikePct*INDEX(Buffers!$P:$P,MATCH($H1866,Buffers!$AE:$AE,0))),"Spike","Not qualified"))))))</f>
        <v/>
      </c>
      <c r="G1866" s="8" t="str">
        <f aca="false">IF($A1866="","",IF(OR($F1866="Past due",$F1866="Due today",$F1866="Spike"),$C1866,0))</f>
        <v/>
      </c>
      <c r="H1866" s="8" t="str">
        <f aca="false">IF($A1866="","",SUBSTITUTE(SUBSTITUTE(SUBSTITUTE($A1866&amp;"","~","~~"),"*","~*"),"?","~?"))</f>
        <v/>
      </c>
    </row>
    <row r="1867" customFormat="false" ht="15" hidden="false" customHeight="false" outlineLevel="0" collapsed="false">
      <c r="A1867" s="11"/>
      <c r="B1867" s="6"/>
      <c r="C1867" s="11"/>
      <c r="D1867" s="11"/>
      <c r="E1867" s="8" t="str">
        <f aca="false">IF($A1867="","",SUMIFS($C:$C,$A:$A,$H1867,$B:$B,"&gt;="&amp;INT($B1867),$B:$B,"&lt;"&amp;(INT($B1867)+1)))</f>
        <v/>
      </c>
      <c r="F1867" s="19" t="str">
        <f aca="false">IF($A1867="","",IF(ISNA(MATCH($H1867,Buffers!$AE:$AE,0)),"Not on Buffers",IF(NOT(ISNUMBER($B1867)),"Needs a date",IF(INT($B1867)&lt;PlanDate,"Past due",IF(INT($B1867)=PlanDate,"Due today",IF(AND(INDEX(Buffers!$L:$L,MATCH($H1867,Buffers!$AE:$AE,0))="Planned",$E1867&gt;0,INT($B1867)&lt;=PlanDate+ROUNDUP(IF(ISNUMBER(SpikeHorizon),SpikeHorizon,INDEX(Buffers!$D:$D,MATCH($H1867,Buffers!$AE:$AE,0))),0),$E1867&gt;=SpikePct*INDEX(Buffers!$P:$P,MATCH($H1867,Buffers!$AE:$AE,0))),"Spike","Not qualified"))))))</f>
        <v/>
      </c>
      <c r="G1867" s="8" t="str">
        <f aca="false">IF($A1867="","",IF(OR($F1867="Past due",$F1867="Due today",$F1867="Spike"),$C1867,0))</f>
        <v/>
      </c>
      <c r="H1867" s="8" t="str">
        <f aca="false">IF($A1867="","",SUBSTITUTE(SUBSTITUTE(SUBSTITUTE($A1867&amp;"","~","~~"),"*","~*"),"?","~?"))</f>
        <v/>
      </c>
    </row>
    <row r="1868" customFormat="false" ht="15" hidden="false" customHeight="false" outlineLevel="0" collapsed="false">
      <c r="A1868" s="11"/>
      <c r="B1868" s="6"/>
      <c r="C1868" s="11"/>
      <c r="D1868" s="11"/>
      <c r="E1868" s="8" t="str">
        <f aca="false">IF($A1868="","",SUMIFS($C:$C,$A:$A,$H1868,$B:$B,"&gt;="&amp;INT($B1868),$B:$B,"&lt;"&amp;(INT($B1868)+1)))</f>
        <v/>
      </c>
      <c r="F1868" s="19" t="str">
        <f aca="false">IF($A1868="","",IF(ISNA(MATCH($H1868,Buffers!$AE:$AE,0)),"Not on Buffers",IF(NOT(ISNUMBER($B1868)),"Needs a date",IF(INT($B1868)&lt;PlanDate,"Past due",IF(INT($B1868)=PlanDate,"Due today",IF(AND(INDEX(Buffers!$L:$L,MATCH($H1868,Buffers!$AE:$AE,0))="Planned",$E1868&gt;0,INT($B1868)&lt;=PlanDate+ROUNDUP(IF(ISNUMBER(SpikeHorizon),SpikeHorizon,INDEX(Buffers!$D:$D,MATCH($H1868,Buffers!$AE:$AE,0))),0),$E1868&gt;=SpikePct*INDEX(Buffers!$P:$P,MATCH($H1868,Buffers!$AE:$AE,0))),"Spike","Not qualified"))))))</f>
        <v/>
      </c>
      <c r="G1868" s="8" t="str">
        <f aca="false">IF($A1868="","",IF(OR($F1868="Past due",$F1868="Due today",$F1868="Spike"),$C1868,0))</f>
        <v/>
      </c>
      <c r="H1868" s="8" t="str">
        <f aca="false">IF($A1868="","",SUBSTITUTE(SUBSTITUTE(SUBSTITUTE($A1868&amp;"","~","~~"),"*","~*"),"?","~?"))</f>
        <v/>
      </c>
    </row>
    <row r="1869" customFormat="false" ht="15" hidden="false" customHeight="false" outlineLevel="0" collapsed="false">
      <c r="A1869" s="11"/>
      <c r="B1869" s="6"/>
      <c r="C1869" s="11"/>
      <c r="D1869" s="11"/>
      <c r="E1869" s="8" t="str">
        <f aca="false">IF($A1869="","",SUMIFS($C:$C,$A:$A,$H1869,$B:$B,"&gt;="&amp;INT($B1869),$B:$B,"&lt;"&amp;(INT($B1869)+1)))</f>
        <v/>
      </c>
      <c r="F1869" s="19" t="str">
        <f aca="false">IF($A1869="","",IF(ISNA(MATCH($H1869,Buffers!$AE:$AE,0)),"Not on Buffers",IF(NOT(ISNUMBER($B1869)),"Needs a date",IF(INT($B1869)&lt;PlanDate,"Past due",IF(INT($B1869)=PlanDate,"Due today",IF(AND(INDEX(Buffers!$L:$L,MATCH($H1869,Buffers!$AE:$AE,0))="Planned",$E1869&gt;0,INT($B1869)&lt;=PlanDate+ROUNDUP(IF(ISNUMBER(SpikeHorizon),SpikeHorizon,INDEX(Buffers!$D:$D,MATCH($H1869,Buffers!$AE:$AE,0))),0),$E1869&gt;=SpikePct*INDEX(Buffers!$P:$P,MATCH($H1869,Buffers!$AE:$AE,0))),"Spike","Not qualified"))))))</f>
        <v/>
      </c>
      <c r="G1869" s="8" t="str">
        <f aca="false">IF($A1869="","",IF(OR($F1869="Past due",$F1869="Due today",$F1869="Spike"),$C1869,0))</f>
        <v/>
      </c>
      <c r="H1869" s="8" t="str">
        <f aca="false">IF($A1869="","",SUBSTITUTE(SUBSTITUTE(SUBSTITUTE($A1869&amp;"","~","~~"),"*","~*"),"?","~?"))</f>
        <v/>
      </c>
    </row>
    <row r="1870" customFormat="false" ht="15" hidden="false" customHeight="false" outlineLevel="0" collapsed="false">
      <c r="A1870" s="11"/>
      <c r="B1870" s="6"/>
      <c r="C1870" s="11"/>
      <c r="D1870" s="11"/>
      <c r="E1870" s="8" t="str">
        <f aca="false">IF($A1870="","",SUMIFS($C:$C,$A:$A,$H1870,$B:$B,"&gt;="&amp;INT($B1870),$B:$B,"&lt;"&amp;(INT($B1870)+1)))</f>
        <v/>
      </c>
      <c r="F1870" s="19" t="str">
        <f aca="false">IF($A1870="","",IF(ISNA(MATCH($H1870,Buffers!$AE:$AE,0)),"Not on Buffers",IF(NOT(ISNUMBER($B1870)),"Needs a date",IF(INT($B1870)&lt;PlanDate,"Past due",IF(INT($B1870)=PlanDate,"Due today",IF(AND(INDEX(Buffers!$L:$L,MATCH($H1870,Buffers!$AE:$AE,0))="Planned",$E1870&gt;0,INT($B1870)&lt;=PlanDate+ROUNDUP(IF(ISNUMBER(SpikeHorizon),SpikeHorizon,INDEX(Buffers!$D:$D,MATCH($H1870,Buffers!$AE:$AE,0))),0),$E1870&gt;=SpikePct*INDEX(Buffers!$P:$P,MATCH($H1870,Buffers!$AE:$AE,0))),"Spike","Not qualified"))))))</f>
        <v/>
      </c>
      <c r="G1870" s="8" t="str">
        <f aca="false">IF($A1870="","",IF(OR($F1870="Past due",$F1870="Due today",$F1870="Spike"),$C1870,0))</f>
        <v/>
      </c>
      <c r="H1870" s="8" t="str">
        <f aca="false">IF($A1870="","",SUBSTITUTE(SUBSTITUTE(SUBSTITUTE($A1870&amp;"","~","~~"),"*","~*"),"?","~?"))</f>
        <v/>
      </c>
    </row>
    <row r="1871" customFormat="false" ht="15" hidden="false" customHeight="false" outlineLevel="0" collapsed="false">
      <c r="A1871" s="11"/>
      <c r="B1871" s="6"/>
      <c r="C1871" s="11"/>
      <c r="D1871" s="11"/>
      <c r="E1871" s="8" t="str">
        <f aca="false">IF($A1871="","",SUMIFS($C:$C,$A:$A,$H1871,$B:$B,"&gt;="&amp;INT($B1871),$B:$B,"&lt;"&amp;(INT($B1871)+1)))</f>
        <v/>
      </c>
      <c r="F1871" s="19" t="str">
        <f aca="false">IF($A1871="","",IF(ISNA(MATCH($H1871,Buffers!$AE:$AE,0)),"Not on Buffers",IF(NOT(ISNUMBER($B1871)),"Needs a date",IF(INT($B1871)&lt;PlanDate,"Past due",IF(INT($B1871)=PlanDate,"Due today",IF(AND(INDEX(Buffers!$L:$L,MATCH($H1871,Buffers!$AE:$AE,0))="Planned",$E1871&gt;0,INT($B1871)&lt;=PlanDate+ROUNDUP(IF(ISNUMBER(SpikeHorizon),SpikeHorizon,INDEX(Buffers!$D:$D,MATCH($H1871,Buffers!$AE:$AE,0))),0),$E1871&gt;=SpikePct*INDEX(Buffers!$P:$P,MATCH($H1871,Buffers!$AE:$AE,0))),"Spike","Not qualified"))))))</f>
        <v/>
      </c>
      <c r="G1871" s="8" t="str">
        <f aca="false">IF($A1871="","",IF(OR($F1871="Past due",$F1871="Due today",$F1871="Spike"),$C1871,0))</f>
        <v/>
      </c>
      <c r="H1871" s="8" t="str">
        <f aca="false">IF($A1871="","",SUBSTITUTE(SUBSTITUTE(SUBSTITUTE($A1871&amp;"","~","~~"),"*","~*"),"?","~?"))</f>
        <v/>
      </c>
    </row>
    <row r="1872" customFormat="false" ht="15" hidden="false" customHeight="false" outlineLevel="0" collapsed="false">
      <c r="A1872" s="11"/>
      <c r="B1872" s="6"/>
      <c r="C1872" s="11"/>
      <c r="D1872" s="11"/>
      <c r="E1872" s="8" t="str">
        <f aca="false">IF($A1872="","",SUMIFS($C:$C,$A:$A,$H1872,$B:$B,"&gt;="&amp;INT($B1872),$B:$B,"&lt;"&amp;(INT($B1872)+1)))</f>
        <v/>
      </c>
      <c r="F1872" s="19" t="str">
        <f aca="false">IF($A1872="","",IF(ISNA(MATCH($H1872,Buffers!$AE:$AE,0)),"Not on Buffers",IF(NOT(ISNUMBER($B1872)),"Needs a date",IF(INT($B1872)&lt;PlanDate,"Past due",IF(INT($B1872)=PlanDate,"Due today",IF(AND(INDEX(Buffers!$L:$L,MATCH($H1872,Buffers!$AE:$AE,0))="Planned",$E1872&gt;0,INT($B1872)&lt;=PlanDate+ROUNDUP(IF(ISNUMBER(SpikeHorizon),SpikeHorizon,INDEX(Buffers!$D:$D,MATCH($H1872,Buffers!$AE:$AE,0))),0),$E1872&gt;=SpikePct*INDEX(Buffers!$P:$P,MATCH($H1872,Buffers!$AE:$AE,0))),"Spike","Not qualified"))))))</f>
        <v/>
      </c>
      <c r="G1872" s="8" t="str">
        <f aca="false">IF($A1872="","",IF(OR($F1872="Past due",$F1872="Due today",$F1872="Spike"),$C1872,0))</f>
        <v/>
      </c>
      <c r="H1872" s="8" t="str">
        <f aca="false">IF($A1872="","",SUBSTITUTE(SUBSTITUTE(SUBSTITUTE($A1872&amp;"","~","~~"),"*","~*"),"?","~?"))</f>
        <v/>
      </c>
    </row>
    <row r="1873" customFormat="false" ht="15" hidden="false" customHeight="false" outlineLevel="0" collapsed="false">
      <c r="A1873" s="11"/>
      <c r="B1873" s="6"/>
      <c r="C1873" s="11"/>
      <c r="D1873" s="11"/>
      <c r="E1873" s="8" t="str">
        <f aca="false">IF($A1873="","",SUMIFS($C:$C,$A:$A,$H1873,$B:$B,"&gt;="&amp;INT($B1873),$B:$B,"&lt;"&amp;(INT($B1873)+1)))</f>
        <v/>
      </c>
      <c r="F1873" s="19" t="str">
        <f aca="false">IF($A1873="","",IF(ISNA(MATCH($H1873,Buffers!$AE:$AE,0)),"Not on Buffers",IF(NOT(ISNUMBER($B1873)),"Needs a date",IF(INT($B1873)&lt;PlanDate,"Past due",IF(INT($B1873)=PlanDate,"Due today",IF(AND(INDEX(Buffers!$L:$L,MATCH($H1873,Buffers!$AE:$AE,0))="Planned",$E1873&gt;0,INT($B1873)&lt;=PlanDate+ROUNDUP(IF(ISNUMBER(SpikeHorizon),SpikeHorizon,INDEX(Buffers!$D:$D,MATCH($H1873,Buffers!$AE:$AE,0))),0),$E1873&gt;=SpikePct*INDEX(Buffers!$P:$P,MATCH($H1873,Buffers!$AE:$AE,0))),"Spike","Not qualified"))))))</f>
        <v/>
      </c>
      <c r="G1873" s="8" t="str">
        <f aca="false">IF($A1873="","",IF(OR($F1873="Past due",$F1873="Due today",$F1873="Spike"),$C1873,0))</f>
        <v/>
      </c>
      <c r="H1873" s="8" t="str">
        <f aca="false">IF($A1873="","",SUBSTITUTE(SUBSTITUTE(SUBSTITUTE($A1873&amp;"","~","~~"),"*","~*"),"?","~?"))</f>
        <v/>
      </c>
    </row>
    <row r="1874" customFormat="false" ht="15" hidden="false" customHeight="false" outlineLevel="0" collapsed="false">
      <c r="A1874" s="11"/>
      <c r="B1874" s="6"/>
      <c r="C1874" s="11"/>
      <c r="D1874" s="11"/>
      <c r="E1874" s="8" t="str">
        <f aca="false">IF($A1874="","",SUMIFS($C:$C,$A:$A,$H1874,$B:$B,"&gt;="&amp;INT($B1874),$B:$B,"&lt;"&amp;(INT($B1874)+1)))</f>
        <v/>
      </c>
      <c r="F1874" s="19" t="str">
        <f aca="false">IF($A1874="","",IF(ISNA(MATCH($H1874,Buffers!$AE:$AE,0)),"Not on Buffers",IF(NOT(ISNUMBER($B1874)),"Needs a date",IF(INT($B1874)&lt;PlanDate,"Past due",IF(INT($B1874)=PlanDate,"Due today",IF(AND(INDEX(Buffers!$L:$L,MATCH($H1874,Buffers!$AE:$AE,0))="Planned",$E1874&gt;0,INT($B1874)&lt;=PlanDate+ROUNDUP(IF(ISNUMBER(SpikeHorizon),SpikeHorizon,INDEX(Buffers!$D:$D,MATCH($H1874,Buffers!$AE:$AE,0))),0),$E1874&gt;=SpikePct*INDEX(Buffers!$P:$P,MATCH($H1874,Buffers!$AE:$AE,0))),"Spike","Not qualified"))))))</f>
        <v/>
      </c>
      <c r="G1874" s="8" t="str">
        <f aca="false">IF($A1874="","",IF(OR($F1874="Past due",$F1874="Due today",$F1874="Spike"),$C1874,0))</f>
        <v/>
      </c>
      <c r="H1874" s="8" t="str">
        <f aca="false">IF($A1874="","",SUBSTITUTE(SUBSTITUTE(SUBSTITUTE($A1874&amp;"","~","~~"),"*","~*"),"?","~?"))</f>
        <v/>
      </c>
    </row>
    <row r="1875" customFormat="false" ht="15" hidden="false" customHeight="false" outlineLevel="0" collapsed="false">
      <c r="A1875" s="11"/>
      <c r="B1875" s="6"/>
      <c r="C1875" s="11"/>
      <c r="D1875" s="11"/>
      <c r="E1875" s="8" t="str">
        <f aca="false">IF($A1875="","",SUMIFS($C:$C,$A:$A,$H1875,$B:$B,"&gt;="&amp;INT($B1875),$B:$B,"&lt;"&amp;(INT($B1875)+1)))</f>
        <v/>
      </c>
      <c r="F1875" s="19" t="str">
        <f aca="false">IF($A1875="","",IF(ISNA(MATCH($H1875,Buffers!$AE:$AE,0)),"Not on Buffers",IF(NOT(ISNUMBER($B1875)),"Needs a date",IF(INT($B1875)&lt;PlanDate,"Past due",IF(INT($B1875)=PlanDate,"Due today",IF(AND(INDEX(Buffers!$L:$L,MATCH($H1875,Buffers!$AE:$AE,0))="Planned",$E1875&gt;0,INT($B1875)&lt;=PlanDate+ROUNDUP(IF(ISNUMBER(SpikeHorizon),SpikeHorizon,INDEX(Buffers!$D:$D,MATCH($H1875,Buffers!$AE:$AE,0))),0),$E1875&gt;=SpikePct*INDEX(Buffers!$P:$P,MATCH($H1875,Buffers!$AE:$AE,0))),"Spike","Not qualified"))))))</f>
        <v/>
      </c>
      <c r="G1875" s="8" t="str">
        <f aca="false">IF($A1875="","",IF(OR($F1875="Past due",$F1875="Due today",$F1875="Spike"),$C1875,0))</f>
        <v/>
      </c>
      <c r="H1875" s="8" t="str">
        <f aca="false">IF($A1875="","",SUBSTITUTE(SUBSTITUTE(SUBSTITUTE($A1875&amp;"","~","~~"),"*","~*"),"?","~?"))</f>
        <v/>
      </c>
    </row>
    <row r="1876" customFormat="false" ht="15" hidden="false" customHeight="false" outlineLevel="0" collapsed="false">
      <c r="A1876" s="11"/>
      <c r="B1876" s="6"/>
      <c r="C1876" s="11"/>
      <c r="D1876" s="11"/>
      <c r="E1876" s="8" t="str">
        <f aca="false">IF($A1876="","",SUMIFS($C:$C,$A:$A,$H1876,$B:$B,"&gt;="&amp;INT($B1876),$B:$B,"&lt;"&amp;(INT($B1876)+1)))</f>
        <v/>
      </c>
      <c r="F1876" s="19" t="str">
        <f aca="false">IF($A1876="","",IF(ISNA(MATCH($H1876,Buffers!$AE:$AE,0)),"Not on Buffers",IF(NOT(ISNUMBER($B1876)),"Needs a date",IF(INT($B1876)&lt;PlanDate,"Past due",IF(INT($B1876)=PlanDate,"Due today",IF(AND(INDEX(Buffers!$L:$L,MATCH($H1876,Buffers!$AE:$AE,0))="Planned",$E1876&gt;0,INT($B1876)&lt;=PlanDate+ROUNDUP(IF(ISNUMBER(SpikeHorizon),SpikeHorizon,INDEX(Buffers!$D:$D,MATCH($H1876,Buffers!$AE:$AE,0))),0),$E1876&gt;=SpikePct*INDEX(Buffers!$P:$P,MATCH($H1876,Buffers!$AE:$AE,0))),"Spike","Not qualified"))))))</f>
        <v/>
      </c>
      <c r="G1876" s="8" t="str">
        <f aca="false">IF($A1876="","",IF(OR($F1876="Past due",$F1876="Due today",$F1876="Spike"),$C1876,0))</f>
        <v/>
      </c>
      <c r="H1876" s="8" t="str">
        <f aca="false">IF($A1876="","",SUBSTITUTE(SUBSTITUTE(SUBSTITUTE($A1876&amp;"","~","~~"),"*","~*"),"?","~?"))</f>
        <v/>
      </c>
    </row>
    <row r="1877" customFormat="false" ht="15" hidden="false" customHeight="false" outlineLevel="0" collapsed="false">
      <c r="A1877" s="11"/>
      <c r="B1877" s="6"/>
      <c r="C1877" s="11"/>
      <c r="D1877" s="11"/>
      <c r="E1877" s="8" t="str">
        <f aca="false">IF($A1877="","",SUMIFS($C:$C,$A:$A,$H1877,$B:$B,"&gt;="&amp;INT($B1877),$B:$B,"&lt;"&amp;(INT($B1877)+1)))</f>
        <v/>
      </c>
      <c r="F1877" s="19" t="str">
        <f aca="false">IF($A1877="","",IF(ISNA(MATCH($H1877,Buffers!$AE:$AE,0)),"Not on Buffers",IF(NOT(ISNUMBER($B1877)),"Needs a date",IF(INT($B1877)&lt;PlanDate,"Past due",IF(INT($B1877)=PlanDate,"Due today",IF(AND(INDEX(Buffers!$L:$L,MATCH($H1877,Buffers!$AE:$AE,0))="Planned",$E1877&gt;0,INT($B1877)&lt;=PlanDate+ROUNDUP(IF(ISNUMBER(SpikeHorizon),SpikeHorizon,INDEX(Buffers!$D:$D,MATCH($H1877,Buffers!$AE:$AE,0))),0),$E1877&gt;=SpikePct*INDEX(Buffers!$P:$P,MATCH($H1877,Buffers!$AE:$AE,0))),"Spike","Not qualified"))))))</f>
        <v/>
      </c>
      <c r="G1877" s="8" t="str">
        <f aca="false">IF($A1877="","",IF(OR($F1877="Past due",$F1877="Due today",$F1877="Spike"),$C1877,0))</f>
        <v/>
      </c>
      <c r="H1877" s="8" t="str">
        <f aca="false">IF($A1877="","",SUBSTITUTE(SUBSTITUTE(SUBSTITUTE($A1877&amp;"","~","~~"),"*","~*"),"?","~?"))</f>
        <v/>
      </c>
    </row>
    <row r="1878" customFormat="false" ht="15" hidden="false" customHeight="false" outlineLevel="0" collapsed="false">
      <c r="A1878" s="11"/>
      <c r="B1878" s="6"/>
      <c r="C1878" s="11"/>
      <c r="D1878" s="11"/>
      <c r="E1878" s="8" t="str">
        <f aca="false">IF($A1878="","",SUMIFS($C:$C,$A:$A,$H1878,$B:$B,"&gt;="&amp;INT($B1878),$B:$B,"&lt;"&amp;(INT($B1878)+1)))</f>
        <v/>
      </c>
      <c r="F1878" s="19" t="str">
        <f aca="false">IF($A1878="","",IF(ISNA(MATCH($H1878,Buffers!$AE:$AE,0)),"Not on Buffers",IF(NOT(ISNUMBER($B1878)),"Needs a date",IF(INT($B1878)&lt;PlanDate,"Past due",IF(INT($B1878)=PlanDate,"Due today",IF(AND(INDEX(Buffers!$L:$L,MATCH($H1878,Buffers!$AE:$AE,0))="Planned",$E1878&gt;0,INT($B1878)&lt;=PlanDate+ROUNDUP(IF(ISNUMBER(SpikeHorizon),SpikeHorizon,INDEX(Buffers!$D:$D,MATCH($H1878,Buffers!$AE:$AE,0))),0),$E1878&gt;=SpikePct*INDEX(Buffers!$P:$P,MATCH($H1878,Buffers!$AE:$AE,0))),"Spike","Not qualified"))))))</f>
        <v/>
      </c>
      <c r="G1878" s="8" t="str">
        <f aca="false">IF($A1878="","",IF(OR($F1878="Past due",$F1878="Due today",$F1878="Spike"),$C1878,0))</f>
        <v/>
      </c>
      <c r="H1878" s="8" t="str">
        <f aca="false">IF($A1878="","",SUBSTITUTE(SUBSTITUTE(SUBSTITUTE($A1878&amp;"","~","~~"),"*","~*"),"?","~?"))</f>
        <v/>
      </c>
    </row>
    <row r="1879" customFormat="false" ht="15" hidden="false" customHeight="false" outlineLevel="0" collapsed="false">
      <c r="A1879" s="11"/>
      <c r="B1879" s="6"/>
      <c r="C1879" s="11"/>
      <c r="D1879" s="11"/>
      <c r="E1879" s="8" t="str">
        <f aca="false">IF($A1879="","",SUMIFS($C:$C,$A:$A,$H1879,$B:$B,"&gt;="&amp;INT($B1879),$B:$B,"&lt;"&amp;(INT($B1879)+1)))</f>
        <v/>
      </c>
      <c r="F1879" s="19" t="str">
        <f aca="false">IF($A1879="","",IF(ISNA(MATCH($H1879,Buffers!$AE:$AE,0)),"Not on Buffers",IF(NOT(ISNUMBER($B1879)),"Needs a date",IF(INT($B1879)&lt;PlanDate,"Past due",IF(INT($B1879)=PlanDate,"Due today",IF(AND(INDEX(Buffers!$L:$L,MATCH($H1879,Buffers!$AE:$AE,0))="Planned",$E1879&gt;0,INT($B1879)&lt;=PlanDate+ROUNDUP(IF(ISNUMBER(SpikeHorizon),SpikeHorizon,INDEX(Buffers!$D:$D,MATCH($H1879,Buffers!$AE:$AE,0))),0),$E1879&gt;=SpikePct*INDEX(Buffers!$P:$P,MATCH($H1879,Buffers!$AE:$AE,0))),"Spike","Not qualified"))))))</f>
        <v/>
      </c>
      <c r="G1879" s="8" t="str">
        <f aca="false">IF($A1879="","",IF(OR($F1879="Past due",$F1879="Due today",$F1879="Spike"),$C1879,0))</f>
        <v/>
      </c>
      <c r="H1879" s="8" t="str">
        <f aca="false">IF($A1879="","",SUBSTITUTE(SUBSTITUTE(SUBSTITUTE($A1879&amp;"","~","~~"),"*","~*"),"?","~?"))</f>
        <v/>
      </c>
    </row>
    <row r="1880" customFormat="false" ht="15" hidden="false" customHeight="false" outlineLevel="0" collapsed="false">
      <c r="A1880" s="11"/>
      <c r="B1880" s="6"/>
      <c r="C1880" s="11"/>
      <c r="D1880" s="11"/>
      <c r="E1880" s="8" t="str">
        <f aca="false">IF($A1880="","",SUMIFS($C:$C,$A:$A,$H1880,$B:$B,"&gt;="&amp;INT($B1880),$B:$B,"&lt;"&amp;(INT($B1880)+1)))</f>
        <v/>
      </c>
      <c r="F1880" s="19" t="str">
        <f aca="false">IF($A1880="","",IF(ISNA(MATCH($H1880,Buffers!$AE:$AE,0)),"Not on Buffers",IF(NOT(ISNUMBER($B1880)),"Needs a date",IF(INT($B1880)&lt;PlanDate,"Past due",IF(INT($B1880)=PlanDate,"Due today",IF(AND(INDEX(Buffers!$L:$L,MATCH($H1880,Buffers!$AE:$AE,0))="Planned",$E1880&gt;0,INT($B1880)&lt;=PlanDate+ROUNDUP(IF(ISNUMBER(SpikeHorizon),SpikeHorizon,INDEX(Buffers!$D:$D,MATCH($H1880,Buffers!$AE:$AE,0))),0),$E1880&gt;=SpikePct*INDEX(Buffers!$P:$P,MATCH($H1880,Buffers!$AE:$AE,0))),"Spike","Not qualified"))))))</f>
        <v/>
      </c>
      <c r="G1880" s="8" t="str">
        <f aca="false">IF($A1880="","",IF(OR($F1880="Past due",$F1880="Due today",$F1880="Spike"),$C1880,0))</f>
        <v/>
      </c>
      <c r="H1880" s="8" t="str">
        <f aca="false">IF($A1880="","",SUBSTITUTE(SUBSTITUTE(SUBSTITUTE($A1880&amp;"","~","~~"),"*","~*"),"?","~?"))</f>
        <v/>
      </c>
    </row>
    <row r="1881" customFormat="false" ht="15" hidden="false" customHeight="false" outlineLevel="0" collapsed="false">
      <c r="A1881" s="11"/>
      <c r="B1881" s="6"/>
      <c r="C1881" s="11"/>
      <c r="D1881" s="11"/>
      <c r="E1881" s="8" t="str">
        <f aca="false">IF($A1881="","",SUMIFS($C:$C,$A:$A,$H1881,$B:$B,"&gt;="&amp;INT($B1881),$B:$B,"&lt;"&amp;(INT($B1881)+1)))</f>
        <v/>
      </c>
      <c r="F1881" s="19" t="str">
        <f aca="false">IF($A1881="","",IF(ISNA(MATCH($H1881,Buffers!$AE:$AE,0)),"Not on Buffers",IF(NOT(ISNUMBER($B1881)),"Needs a date",IF(INT($B1881)&lt;PlanDate,"Past due",IF(INT($B1881)=PlanDate,"Due today",IF(AND(INDEX(Buffers!$L:$L,MATCH($H1881,Buffers!$AE:$AE,0))="Planned",$E1881&gt;0,INT($B1881)&lt;=PlanDate+ROUNDUP(IF(ISNUMBER(SpikeHorizon),SpikeHorizon,INDEX(Buffers!$D:$D,MATCH($H1881,Buffers!$AE:$AE,0))),0),$E1881&gt;=SpikePct*INDEX(Buffers!$P:$P,MATCH($H1881,Buffers!$AE:$AE,0))),"Spike","Not qualified"))))))</f>
        <v/>
      </c>
      <c r="G1881" s="8" t="str">
        <f aca="false">IF($A1881="","",IF(OR($F1881="Past due",$F1881="Due today",$F1881="Spike"),$C1881,0))</f>
        <v/>
      </c>
      <c r="H1881" s="8" t="str">
        <f aca="false">IF($A1881="","",SUBSTITUTE(SUBSTITUTE(SUBSTITUTE($A1881&amp;"","~","~~"),"*","~*"),"?","~?"))</f>
        <v/>
      </c>
    </row>
    <row r="1882" customFormat="false" ht="15" hidden="false" customHeight="false" outlineLevel="0" collapsed="false">
      <c r="A1882" s="11"/>
      <c r="B1882" s="6"/>
      <c r="C1882" s="11"/>
      <c r="D1882" s="11"/>
      <c r="E1882" s="8" t="str">
        <f aca="false">IF($A1882="","",SUMIFS($C:$C,$A:$A,$H1882,$B:$B,"&gt;="&amp;INT($B1882),$B:$B,"&lt;"&amp;(INT($B1882)+1)))</f>
        <v/>
      </c>
      <c r="F1882" s="19" t="str">
        <f aca="false">IF($A1882="","",IF(ISNA(MATCH($H1882,Buffers!$AE:$AE,0)),"Not on Buffers",IF(NOT(ISNUMBER($B1882)),"Needs a date",IF(INT($B1882)&lt;PlanDate,"Past due",IF(INT($B1882)=PlanDate,"Due today",IF(AND(INDEX(Buffers!$L:$L,MATCH($H1882,Buffers!$AE:$AE,0))="Planned",$E1882&gt;0,INT($B1882)&lt;=PlanDate+ROUNDUP(IF(ISNUMBER(SpikeHorizon),SpikeHorizon,INDEX(Buffers!$D:$D,MATCH($H1882,Buffers!$AE:$AE,0))),0),$E1882&gt;=SpikePct*INDEX(Buffers!$P:$P,MATCH($H1882,Buffers!$AE:$AE,0))),"Spike","Not qualified"))))))</f>
        <v/>
      </c>
      <c r="G1882" s="8" t="str">
        <f aca="false">IF($A1882="","",IF(OR($F1882="Past due",$F1882="Due today",$F1882="Spike"),$C1882,0))</f>
        <v/>
      </c>
      <c r="H1882" s="8" t="str">
        <f aca="false">IF($A1882="","",SUBSTITUTE(SUBSTITUTE(SUBSTITUTE($A1882&amp;"","~","~~"),"*","~*"),"?","~?"))</f>
        <v/>
      </c>
    </row>
    <row r="1883" customFormat="false" ht="15" hidden="false" customHeight="false" outlineLevel="0" collapsed="false">
      <c r="A1883" s="11"/>
      <c r="B1883" s="6"/>
      <c r="C1883" s="11"/>
      <c r="D1883" s="11"/>
      <c r="E1883" s="8" t="str">
        <f aca="false">IF($A1883="","",SUMIFS($C:$C,$A:$A,$H1883,$B:$B,"&gt;="&amp;INT($B1883),$B:$B,"&lt;"&amp;(INT($B1883)+1)))</f>
        <v/>
      </c>
      <c r="F1883" s="19" t="str">
        <f aca="false">IF($A1883="","",IF(ISNA(MATCH($H1883,Buffers!$AE:$AE,0)),"Not on Buffers",IF(NOT(ISNUMBER($B1883)),"Needs a date",IF(INT($B1883)&lt;PlanDate,"Past due",IF(INT($B1883)=PlanDate,"Due today",IF(AND(INDEX(Buffers!$L:$L,MATCH($H1883,Buffers!$AE:$AE,0))="Planned",$E1883&gt;0,INT($B1883)&lt;=PlanDate+ROUNDUP(IF(ISNUMBER(SpikeHorizon),SpikeHorizon,INDEX(Buffers!$D:$D,MATCH($H1883,Buffers!$AE:$AE,0))),0),$E1883&gt;=SpikePct*INDEX(Buffers!$P:$P,MATCH($H1883,Buffers!$AE:$AE,0))),"Spike","Not qualified"))))))</f>
        <v/>
      </c>
      <c r="G1883" s="8" t="str">
        <f aca="false">IF($A1883="","",IF(OR($F1883="Past due",$F1883="Due today",$F1883="Spike"),$C1883,0))</f>
        <v/>
      </c>
      <c r="H1883" s="8" t="str">
        <f aca="false">IF($A1883="","",SUBSTITUTE(SUBSTITUTE(SUBSTITUTE($A1883&amp;"","~","~~"),"*","~*"),"?","~?"))</f>
        <v/>
      </c>
    </row>
    <row r="1884" customFormat="false" ht="15" hidden="false" customHeight="false" outlineLevel="0" collapsed="false">
      <c r="A1884" s="11"/>
      <c r="B1884" s="6"/>
      <c r="C1884" s="11"/>
      <c r="D1884" s="11"/>
      <c r="E1884" s="8" t="str">
        <f aca="false">IF($A1884="","",SUMIFS($C:$C,$A:$A,$H1884,$B:$B,"&gt;="&amp;INT($B1884),$B:$B,"&lt;"&amp;(INT($B1884)+1)))</f>
        <v/>
      </c>
      <c r="F1884" s="19" t="str">
        <f aca="false">IF($A1884="","",IF(ISNA(MATCH($H1884,Buffers!$AE:$AE,0)),"Not on Buffers",IF(NOT(ISNUMBER($B1884)),"Needs a date",IF(INT($B1884)&lt;PlanDate,"Past due",IF(INT($B1884)=PlanDate,"Due today",IF(AND(INDEX(Buffers!$L:$L,MATCH($H1884,Buffers!$AE:$AE,0))="Planned",$E1884&gt;0,INT($B1884)&lt;=PlanDate+ROUNDUP(IF(ISNUMBER(SpikeHorizon),SpikeHorizon,INDEX(Buffers!$D:$D,MATCH($H1884,Buffers!$AE:$AE,0))),0),$E1884&gt;=SpikePct*INDEX(Buffers!$P:$P,MATCH($H1884,Buffers!$AE:$AE,0))),"Spike","Not qualified"))))))</f>
        <v/>
      </c>
      <c r="G1884" s="8" t="str">
        <f aca="false">IF($A1884="","",IF(OR($F1884="Past due",$F1884="Due today",$F1884="Spike"),$C1884,0))</f>
        <v/>
      </c>
      <c r="H1884" s="8" t="str">
        <f aca="false">IF($A1884="","",SUBSTITUTE(SUBSTITUTE(SUBSTITUTE($A1884&amp;"","~","~~"),"*","~*"),"?","~?"))</f>
        <v/>
      </c>
    </row>
    <row r="1885" customFormat="false" ht="15" hidden="false" customHeight="false" outlineLevel="0" collapsed="false">
      <c r="A1885" s="11"/>
      <c r="B1885" s="6"/>
      <c r="C1885" s="11"/>
      <c r="D1885" s="11"/>
      <c r="E1885" s="8" t="str">
        <f aca="false">IF($A1885="","",SUMIFS($C:$C,$A:$A,$H1885,$B:$B,"&gt;="&amp;INT($B1885),$B:$B,"&lt;"&amp;(INT($B1885)+1)))</f>
        <v/>
      </c>
      <c r="F1885" s="19" t="str">
        <f aca="false">IF($A1885="","",IF(ISNA(MATCH($H1885,Buffers!$AE:$AE,0)),"Not on Buffers",IF(NOT(ISNUMBER($B1885)),"Needs a date",IF(INT($B1885)&lt;PlanDate,"Past due",IF(INT($B1885)=PlanDate,"Due today",IF(AND(INDEX(Buffers!$L:$L,MATCH($H1885,Buffers!$AE:$AE,0))="Planned",$E1885&gt;0,INT($B1885)&lt;=PlanDate+ROUNDUP(IF(ISNUMBER(SpikeHorizon),SpikeHorizon,INDEX(Buffers!$D:$D,MATCH($H1885,Buffers!$AE:$AE,0))),0),$E1885&gt;=SpikePct*INDEX(Buffers!$P:$P,MATCH($H1885,Buffers!$AE:$AE,0))),"Spike","Not qualified"))))))</f>
        <v/>
      </c>
      <c r="G1885" s="8" t="str">
        <f aca="false">IF($A1885="","",IF(OR($F1885="Past due",$F1885="Due today",$F1885="Spike"),$C1885,0))</f>
        <v/>
      </c>
      <c r="H1885" s="8" t="str">
        <f aca="false">IF($A1885="","",SUBSTITUTE(SUBSTITUTE(SUBSTITUTE($A1885&amp;"","~","~~"),"*","~*"),"?","~?"))</f>
        <v/>
      </c>
    </row>
    <row r="1886" customFormat="false" ht="15" hidden="false" customHeight="false" outlineLevel="0" collapsed="false">
      <c r="A1886" s="11"/>
      <c r="B1886" s="6"/>
      <c r="C1886" s="11"/>
      <c r="D1886" s="11"/>
      <c r="E1886" s="8" t="str">
        <f aca="false">IF($A1886="","",SUMIFS($C:$C,$A:$A,$H1886,$B:$B,"&gt;="&amp;INT($B1886),$B:$B,"&lt;"&amp;(INT($B1886)+1)))</f>
        <v/>
      </c>
      <c r="F1886" s="19" t="str">
        <f aca="false">IF($A1886="","",IF(ISNA(MATCH($H1886,Buffers!$AE:$AE,0)),"Not on Buffers",IF(NOT(ISNUMBER($B1886)),"Needs a date",IF(INT($B1886)&lt;PlanDate,"Past due",IF(INT($B1886)=PlanDate,"Due today",IF(AND(INDEX(Buffers!$L:$L,MATCH($H1886,Buffers!$AE:$AE,0))="Planned",$E1886&gt;0,INT($B1886)&lt;=PlanDate+ROUNDUP(IF(ISNUMBER(SpikeHorizon),SpikeHorizon,INDEX(Buffers!$D:$D,MATCH($H1886,Buffers!$AE:$AE,0))),0),$E1886&gt;=SpikePct*INDEX(Buffers!$P:$P,MATCH($H1886,Buffers!$AE:$AE,0))),"Spike","Not qualified"))))))</f>
        <v/>
      </c>
      <c r="G1886" s="8" t="str">
        <f aca="false">IF($A1886="","",IF(OR($F1886="Past due",$F1886="Due today",$F1886="Spike"),$C1886,0))</f>
        <v/>
      </c>
      <c r="H1886" s="8" t="str">
        <f aca="false">IF($A1886="","",SUBSTITUTE(SUBSTITUTE(SUBSTITUTE($A1886&amp;"","~","~~"),"*","~*"),"?","~?"))</f>
        <v/>
      </c>
    </row>
    <row r="1887" customFormat="false" ht="15" hidden="false" customHeight="false" outlineLevel="0" collapsed="false">
      <c r="A1887" s="11"/>
      <c r="B1887" s="6"/>
      <c r="C1887" s="11"/>
      <c r="D1887" s="11"/>
      <c r="E1887" s="8" t="str">
        <f aca="false">IF($A1887="","",SUMIFS($C:$C,$A:$A,$H1887,$B:$B,"&gt;="&amp;INT($B1887),$B:$B,"&lt;"&amp;(INT($B1887)+1)))</f>
        <v/>
      </c>
      <c r="F1887" s="19" t="str">
        <f aca="false">IF($A1887="","",IF(ISNA(MATCH($H1887,Buffers!$AE:$AE,0)),"Not on Buffers",IF(NOT(ISNUMBER($B1887)),"Needs a date",IF(INT($B1887)&lt;PlanDate,"Past due",IF(INT($B1887)=PlanDate,"Due today",IF(AND(INDEX(Buffers!$L:$L,MATCH($H1887,Buffers!$AE:$AE,0))="Planned",$E1887&gt;0,INT($B1887)&lt;=PlanDate+ROUNDUP(IF(ISNUMBER(SpikeHorizon),SpikeHorizon,INDEX(Buffers!$D:$D,MATCH($H1887,Buffers!$AE:$AE,0))),0),$E1887&gt;=SpikePct*INDEX(Buffers!$P:$P,MATCH($H1887,Buffers!$AE:$AE,0))),"Spike","Not qualified"))))))</f>
        <v/>
      </c>
      <c r="G1887" s="8" t="str">
        <f aca="false">IF($A1887="","",IF(OR($F1887="Past due",$F1887="Due today",$F1887="Spike"),$C1887,0))</f>
        <v/>
      </c>
      <c r="H1887" s="8" t="str">
        <f aca="false">IF($A1887="","",SUBSTITUTE(SUBSTITUTE(SUBSTITUTE($A1887&amp;"","~","~~"),"*","~*"),"?","~?"))</f>
        <v/>
      </c>
    </row>
    <row r="1888" customFormat="false" ht="15" hidden="false" customHeight="false" outlineLevel="0" collapsed="false">
      <c r="A1888" s="11"/>
      <c r="B1888" s="6"/>
      <c r="C1888" s="11"/>
      <c r="D1888" s="11"/>
      <c r="E1888" s="8" t="str">
        <f aca="false">IF($A1888="","",SUMIFS($C:$C,$A:$A,$H1888,$B:$B,"&gt;="&amp;INT($B1888),$B:$B,"&lt;"&amp;(INT($B1888)+1)))</f>
        <v/>
      </c>
      <c r="F1888" s="19" t="str">
        <f aca="false">IF($A1888="","",IF(ISNA(MATCH($H1888,Buffers!$AE:$AE,0)),"Not on Buffers",IF(NOT(ISNUMBER($B1888)),"Needs a date",IF(INT($B1888)&lt;PlanDate,"Past due",IF(INT($B1888)=PlanDate,"Due today",IF(AND(INDEX(Buffers!$L:$L,MATCH($H1888,Buffers!$AE:$AE,0))="Planned",$E1888&gt;0,INT($B1888)&lt;=PlanDate+ROUNDUP(IF(ISNUMBER(SpikeHorizon),SpikeHorizon,INDEX(Buffers!$D:$D,MATCH($H1888,Buffers!$AE:$AE,0))),0),$E1888&gt;=SpikePct*INDEX(Buffers!$P:$P,MATCH($H1888,Buffers!$AE:$AE,0))),"Spike","Not qualified"))))))</f>
        <v/>
      </c>
      <c r="G1888" s="8" t="str">
        <f aca="false">IF($A1888="","",IF(OR($F1888="Past due",$F1888="Due today",$F1888="Spike"),$C1888,0))</f>
        <v/>
      </c>
      <c r="H1888" s="8" t="str">
        <f aca="false">IF($A1888="","",SUBSTITUTE(SUBSTITUTE(SUBSTITUTE($A1888&amp;"","~","~~"),"*","~*"),"?","~?"))</f>
        <v/>
      </c>
    </row>
    <row r="1889" customFormat="false" ht="15" hidden="false" customHeight="false" outlineLevel="0" collapsed="false">
      <c r="A1889" s="11"/>
      <c r="B1889" s="6"/>
      <c r="C1889" s="11"/>
      <c r="D1889" s="11"/>
      <c r="E1889" s="8" t="str">
        <f aca="false">IF($A1889="","",SUMIFS($C:$C,$A:$A,$H1889,$B:$B,"&gt;="&amp;INT($B1889),$B:$B,"&lt;"&amp;(INT($B1889)+1)))</f>
        <v/>
      </c>
      <c r="F1889" s="19" t="str">
        <f aca="false">IF($A1889="","",IF(ISNA(MATCH($H1889,Buffers!$AE:$AE,0)),"Not on Buffers",IF(NOT(ISNUMBER($B1889)),"Needs a date",IF(INT($B1889)&lt;PlanDate,"Past due",IF(INT($B1889)=PlanDate,"Due today",IF(AND(INDEX(Buffers!$L:$L,MATCH($H1889,Buffers!$AE:$AE,0))="Planned",$E1889&gt;0,INT($B1889)&lt;=PlanDate+ROUNDUP(IF(ISNUMBER(SpikeHorizon),SpikeHorizon,INDEX(Buffers!$D:$D,MATCH($H1889,Buffers!$AE:$AE,0))),0),$E1889&gt;=SpikePct*INDEX(Buffers!$P:$P,MATCH($H1889,Buffers!$AE:$AE,0))),"Spike","Not qualified"))))))</f>
        <v/>
      </c>
      <c r="G1889" s="8" t="str">
        <f aca="false">IF($A1889="","",IF(OR($F1889="Past due",$F1889="Due today",$F1889="Spike"),$C1889,0))</f>
        <v/>
      </c>
      <c r="H1889" s="8" t="str">
        <f aca="false">IF($A1889="","",SUBSTITUTE(SUBSTITUTE(SUBSTITUTE($A1889&amp;"","~","~~"),"*","~*"),"?","~?"))</f>
        <v/>
      </c>
    </row>
    <row r="1890" customFormat="false" ht="15" hidden="false" customHeight="false" outlineLevel="0" collapsed="false">
      <c r="A1890" s="11"/>
      <c r="B1890" s="6"/>
      <c r="C1890" s="11"/>
      <c r="D1890" s="11"/>
      <c r="E1890" s="8" t="str">
        <f aca="false">IF($A1890="","",SUMIFS($C:$C,$A:$A,$H1890,$B:$B,"&gt;="&amp;INT($B1890),$B:$B,"&lt;"&amp;(INT($B1890)+1)))</f>
        <v/>
      </c>
      <c r="F1890" s="19" t="str">
        <f aca="false">IF($A1890="","",IF(ISNA(MATCH($H1890,Buffers!$AE:$AE,0)),"Not on Buffers",IF(NOT(ISNUMBER($B1890)),"Needs a date",IF(INT($B1890)&lt;PlanDate,"Past due",IF(INT($B1890)=PlanDate,"Due today",IF(AND(INDEX(Buffers!$L:$L,MATCH($H1890,Buffers!$AE:$AE,0))="Planned",$E1890&gt;0,INT($B1890)&lt;=PlanDate+ROUNDUP(IF(ISNUMBER(SpikeHorizon),SpikeHorizon,INDEX(Buffers!$D:$D,MATCH($H1890,Buffers!$AE:$AE,0))),0),$E1890&gt;=SpikePct*INDEX(Buffers!$P:$P,MATCH($H1890,Buffers!$AE:$AE,0))),"Spike","Not qualified"))))))</f>
        <v/>
      </c>
      <c r="G1890" s="8" t="str">
        <f aca="false">IF($A1890="","",IF(OR($F1890="Past due",$F1890="Due today",$F1890="Spike"),$C1890,0))</f>
        <v/>
      </c>
      <c r="H1890" s="8" t="str">
        <f aca="false">IF($A1890="","",SUBSTITUTE(SUBSTITUTE(SUBSTITUTE($A1890&amp;"","~","~~"),"*","~*"),"?","~?"))</f>
        <v/>
      </c>
    </row>
    <row r="1891" customFormat="false" ht="15" hidden="false" customHeight="false" outlineLevel="0" collapsed="false">
      <c r="A1891" s="11"/>
      <c r="B1891" s="6"/>
      <c r="C1891" s="11"/>
      <c r="D1891" s="11"/>
      <c r="E1891" s="8" t="str">
        <f aca="false">IF($A1891="","",SUMIFS($C:$C,$A:$A,$H1891,$B:$B,"&gt;="&amp;INT($B1891),$B:$B,"&lt;"&amp;(INT($B1891)+1)))</f>
        <v/>
      </c>
      <c r="F1891" s="19" t="str">
        <f aca="false">IF($A1891="","",IF(ISNA(MATCH($H1891,Buffers!$AE:$AE,0)),"Not on Buffers",IF(NOT(ISNUMBER($B1891)),"Needs a date",IF(INT($B1891)&lt;PlanDate,"Past due",IF(INT($B1891)=PlanDate,"Due today",IF(AND(INDEX(Buffers!$L:$L,MATCH($H1891,Buffers!$AE:$AE,0))="Planned",$E1891&gt;0,INT($B1891)&lt;=PlanDate+ROUNDUP(IF(ISNUMBER(SpikeHorizon),SpikeHorizon,INDEX(Buffers!$D:$D,MATCH($H1891,Buffers!$AE:$AE,0))),0),$E1891&gt;=SpikePct*INDEX(Buffers!$P:$P,MATCH($H1891,Buffers!$AE:$AE,0))),"Spike","Not qualified"))))))</f>
        <v/>
      </c>
      <c r="G1891" s="8" t="str">
        <f aca="false">IF($A1891="","",IF(OR($F1891="Past due",$F1891="Due today",$F1891="Spike"),$C1891,0))</f>
        <v/>
      </c>
      <c r="H1891" s="8" t="str">
        <f aca="false">IF($A1891="","",SUBSTITUTE(SUBSTITUTE(SUBSTITUTE($A1891&amp;"","~","~~"),"*","~*"),"?","~?"))</f>
        <v/>
      </c>
    </row>
    <row r="1892" customFormat="false" ht="15" hidden="false" customHeight="false" outlineLevel="0" collapsed="false">
      <c r="A1892" s="11"/>
      <c r="B1892" s="6"/>
      <c r="C1892" s="11"/>
      <c r="D1892" s="11"/>
      <c r="E1892" s="8" t="str">
        <f aca="false">IF($A1892="","",SUMIFS($C:$C,$A:$A,$H1892,$B:$B,"&gt;="&amp;INT($B1892),$B:$B,"&lt;"&amp;(INT($B1892)+1)))</f>
        <v/>
      </c>
      <c r="F1892" s="19" t="str">
        <f aca="false">IF($A1892="","",IF(ISNA(MATCH($H1892,Buffers!$AE:$AE,0)),"Not on Buffers",IF(NOT(ISNUMBER($B1892)),"Needs a date",IF(INT($B1892)&lt;PlanDate,"Past due",IF(INT($B1892)=PlanDate,"Due today",IF(AND(INDEX(Buffers!$L:$L,MATCH($H1892,Buffers!$AE:$AE,0))="Planned",$E1892&gt;0,INT($B1892)&lt;=PlanDate+ROUNDUP(IF(ISNUMBER(SpikeHorizon),SpikeHorizon,INDEX(Buffers!$D:$D,MATCH($H1892,Buffers!$AE:$AE,0))),0),$E1892&gt;=SpikePct*INDEX(Buffers!$P:$P,MATCH($H1892,Buffers!$AE:$AE,0))),"Spike","Not qualified"))))))</f>
        <v/>
      </c>
      <c r="G1892" s="8" t="str">
        <f aca="false">IF($A1892="","",IF(OR($F1892="Past due",$F1892="Due today",$F1892="Spike"),$C1892,0))</f>
        <v/>
      </c>
      <c r="H1892" s="8" t="str">
        <f aca="false">IF($A1892="","",SUBSTITUTE(SUBSTITUTE(SUBSTITUTE($A1892&amp;"","~","~~"),"*","~*"),"?","~?"))</f>
        <v/>
      </c>
    </row>
    <row r="1893" customFormat="false" ht="15" hidden="false" customHeight="false" outlineLevel="0" collapsed="false">
      <c r="A1893" s="11"/>
      <c r="B1893" s="6"/>
      <c r="C1893" s="11"/>
      <c r="D1893" s="11"/>
      <c r="E1893" s="8" t="str">
        <f aca="false">IF($A1893="","",SUMIFS($C:$C,$A:$A,$H1893,$B:$B,"&gt;="&amp;INT($B1893),$B:$B,"&lt;"&amp;(INT($B1893)+1)))</f>
        <v/>
      </c>
      <c r="F1893" s="19" t="str">
        <f aca="false">IF($A1893="","",IF(ISNA(MATCH($H1893,Buffers!$AE:$AE,0)),"Not on Buffers",IF(NOT(ISNUMBER($B1893)),"Needs a date",IF(INT($B1893)&lt;PlanDate,"Past due",IF(INT($B1893)=PlanDate,"Due today",IF(AND(INDEX(Buffers!$L:$L,MATCH($H1893,Buffers!$AE:$AE,0))="Planned",$E1893&gt;0,INT($B1893)&lt;=PlanDate+ROUNDUP(IF(ISNUMBER(SpikeHorizon),SpikeHorizon,INDEX(Buffers!$D:$D,MATCH($H1893,Buffers!$AE:$AE,0))),0),$E1893&gt;=SpikePct*INDEX(Buffers!$P:$P,MATCH($H1893,Buffers!$AE:$AE,0))),"Spike","Not qualified"))))))</f>
        <v/>
      </c>
      <c r="G1893" s="8" t="str">
        <f aca="false">IF($A1893="","",IF(OR($F1893="Past due",$F1893="Due today",$F1893="Spike"),$C1893,0))</f>
        <v/>
      </c>
      <c r="H1893" s="8" t="str">
        <f aca="false">IF($A1893="","",SUBSTITUTE(SUBSTITUTE(SUBSTITUTE($A1893&amp;"","~","~~"),"*","~*"),"?","~?"))</f>
        <v/>
      </c>
    </row>
    <row r="1894" customFormat="false" ht="15" hidden="false" customHeight="false" outlineLevel="0" collapsed="false">
      <c r="A1894" s="11"/>
      <c r="B1894" s="6"/>
      <c r="C1894" s="11"/>
      <c r="D1894" s="11"/>
      <c r="E1894" s="8" t="str">
        <f aca="false">IF($A1894="","",SUMIFS($C:$C,$A:$A,$H1894,$B:$B,"&gt;="&amp;INT($B1894),$B:$B,"&lt;"&amp;(INT($B1894)+1)))</f>
        <v/>
      </c>
      <c r="F1894" s="19" t="str">
        <f aca="false">IF($A1894="","",IF(ISNA(MATCH($H1894,Buffers!$AE:$AE,0)),"Not on Buffers",IF(NOT(ISNUMBER($B1894)),"Needs a date",IF(INT($B1894)&lt;PlanDate,"Past due",IF(INT($B1894)=PlanDate,"Due today",IF(AND(INDEX(Buffers!$L:$L,MATCH($H1894,Buffers!$AE:$AE,0))="Planned",$E1894&gt;0,INT($B1894)&lt;=PlanDate+ROUNDUP(IF(ISNUMBER(SpikeHorizon),SpikeHorizon,INDEX(Buffers!$D:$D,MATCH($H1894,Buffers!$AE:$AE,0))),0),$E1894&gt;=SpikePct*INDEX(Buffers!$P:$P,MATCH($H1894,Buffers!$AE:$AE,0))),"Spike","Not qualified"))))))</f>
        <v/>
      </c>
      <c r="G1894" s="8" t="str">
        <f aca="false">IF($A1894="","",IF(OR($F1894="Past due",$F1894="Due today",$F1894="Spike"),$C1894,0))</f>
        <v/>
      </c>
      <c r="H1894" s="8" t="str">
        <f aca="false">IF($A1894="","",SUBSTITUTE(SUBSTITUTE(SUBSTITUTE($A1894&amp;"","~","~~"),"*","~*"),"?","~?"))</f>
        <v/>
      </c>
    </row>
    <row r="1895" customFormat="false" ht="15" hidden="false" customHeight="false" outlineLevel="0" collapsed="false">
      <c r="A1895" s="11"/>
      <c r="B1895" s="6"/>
      <c r="C1895" s="11"/>
      <c r="D1895" s="11"/>
      <c r="E1895" s="8" t="str">
        <f aca="false">IF($A1895="","",SUMIFS($C:$C,$A:$A,$H1895,$B:$B,"&gt;="&amp;INT($B1895),$B:$B,"&lt;"&amp;(INT($B1895)+1)))</f>
        <v/>
      </c>
      <c r="F1895" s="19" t="str">
        <f aca="false">IF($A1895="","",IF(ISNA(MATCH($H1895,Buffers!$AE:$AE,0)),"Not on Buffers",IF(NOT(ISNUMBER($B1895)),"Needs a date",IF(INT($B1895)&lt;PlanDate,"Past due",IF(INT($B1895)=PlanDate,"Due today",IF(AND(INDEX(Buffers!$L:$L,MATCH($H1895,Buffers!$AE:$AE,0))="Planned",$E1895&gt;0,INT($B1895)&lt;=PlanDate+ROUNDUP(IF(ISNUMBER(SpikeHorizon),SpikeHorizon,INDEX(Buffers!$D:$D,MATCH($H1895,Buffers!$AE:$AE,0))),0),$E1895&gt;=SpikePct*INDEX(Buffers!$P:$P,MATCH($H1895,Buffers!$AE:$AE,0))),"Spike","Not qualified"))))))</f>
        <v/>
      </c>
      <c r="G1895" s="8" t="str">
        <f aca="false">IF($A1895="","",IF(OR($F1895="Past due",$F1895="Due today",$F1895="Spike"),$C1895,0))</f>
        <v/>
      </c>
      <c r="H1895" s="8" t="str">
        <f aca="false">IF($A1895="","",SUBSTITUTE(SUBSTITUTE(SUBSTITUTE($A1895&amp;"","~","~~"),"*","~*"),"?","~?"))</f>
        <v/>
      </c>
    </row>
    <row r="1896" customFormat="false" ht="15" hidden="false" customHeight="false" outlineLevel="0" collapsed="false">
      <c r="A1896" s="11"/>
      <c r="B1896" s="6"/>
      <c r="C1896" s="11"/>
      <c r="D1896" s="11"/>
      <c r="E1896" s="8" t="str">
        <f aca="false">IF($A1896="","",SUMIFS($C:$C,$A:$A,$H1896,$B:$B,"&gt;="&amp;INT($B1896),$B:$B,"&lt;"&amp;(INT($B1896)+1)))</f>
        <v/>
      </c>
      <c r="F1896" s="19" t="str">
        <f aca="false">IF($A1896="","",IF(ISNA(MATCH($H1896,Buffers!$AE:$AE,0)),"Not on Buffers",IF(NOT(ISNUMBER($B1896)),"Needs a date",IF(INT($B1896)&lt;PlanDate,"Past due",IF(INT($B1896)=PlanDate,"Due today",IF(AND(INDEX(Buffers!$L:$L,MATCH($H1896,Buffers!$AE:$AE,0))="Planned",$E1896&gt;0,INT($B1896)&lt;=PlanDate+ROUNDUP(IF(ISNUMBER(SpikeHorizon),SpikeHorizon,INDEX(Buffers!$D:$D,MATCH($H1896,Buffers!$AE:$AE,0))),0),$E1896&gt;=SpikePct*INDEX(Buffers!$P:$P,MATCH($H1896,Buffers!$AE:$AE,0))),"Spike","Not qualified"))))))</f>
        <v/>
      </c>
      <c r="G1896" s="8" t="str">
        <f aca="false">IF($A1896="","",IF(OR($F1896="Past due",$F1896="Due today",$F1896="Spike"),$C1896,0))</f>
        <v/>
      </c>
      <c r="H1896" s="8" t="str">
        <f aca="false">IF($A1896="","",SUBSTITUTE(SUBSTITUTE(SUBSTITUTE($A1896&amp;"","~","~~"),"*","~*"),"?","~?"))</f>
        <v/>
      </c>
    </row>
    <row r="1897" customFormat="false" ht="15" hidden="false" customHeight="false" outlineLevel="0" collapsed="false">
      <c r="A1897" s="11"/>
      <c r="B1897" s="6"/>
      <c r="C1897" s="11"/>
      <c r="D1897" s="11"/>
      <c r="E1897" s="8" t="str">
        <f aca="false">IF($A1897="","",SUMIFS($C:$C,$A:$A,$H1897,$B:$B,"&gt;="&amp;INT($B1897),$B:$B,"&lt;"&amp;(INT($B1897)+1)))</f>
        <v/>
      </c>
      <c r="F1897" s="19" t="str">
        <f aca="false">IF($A1897="","",IF(ISNA(MATCH($H1897,Buffers!$AE:$AE,0)),"Not on Buffers",IF(NOT(ISNUMBER($B1897)),"Needs a date",IF(INT($B1897)&lt;PlanDate,"Past due",IF(INT($B1897)=PlanDate,"Due today",IF(AND(INDEX(Buffers!$L:$L,MATCH($H1897,Buffers!$AE:$AE,0))="Planned",$E1897&gt;0,INT($B1897)&lt;=PlanDate+ROUNDUP(IF(ISNUMBER(SpikeHorizon),SpikeHorizon,INDEX(Buffers!$D:$D,MATCH($H1897,Buffers!$AE:$AE,0))),0),$E1897&gt;=SpikePct*INDEX(Buffers!$P:$P,MATCH($H1897,Buffers!$AE:$AE,0))),"Spike","Not qualified"))))))</f>
        <v/>
      </c>
      <c r="G1897" s="8" t="str">
        <f aca="false">IF($A1897="","",IF(OR($F1897="Past due",$F1897="Due today",$F1897="Spike"),$C1897,0))</f>
        <v/>
      </c>
      <c r="H1897" s="8" t="str">
        <f aca="false">IF($A1897="","",SUBSTITUTE(SUBSTITUTE(SUBSTITUTE($A1897&amp;"","~","~~"),"*","~*"),"?","~?"))</f>
        <v/>
      </c>
    </row>
    <row r="1898" customFormat="false" ht="15" hidden="false" customHeight="false" outlineLevel="0" collapsed="false">
      <c r="A1898" s="11"/>
      <c r="B1898" s="6"/>
      <c r="C1898" s="11"/>
      <c r="D1898" s="11"/>
      <c r="E1898" s="8" t="str">
        <f aca="false">IF($A1898="","",SUMIFS($C:$C,$A:$A,$H1898,$B:$B,"&gt;="&amp;INT($B1898),$B:$B,"&lt;"&amp;(INT($B1898)+1)))</f>
        <v/>
      </c>
      <c r="F1898" s="19" t="str">
        <f aca="false">IF($A1898="","",IF(ISNA(MATCH($H1898,Buffers!$AE:$AE,0)),"Not on Buffers",IF(NOT(ISNUMBER($B1898)),"Needs a date",IF(INT($B1898)&lt;PlanDate,"Past due",IF(INT($B1898)=PlanDate,"Due today",IF(AND(INDEX(Buffers!$L:$L,MATCH($H1898,Buffers!$AE:$AE,0))="Planned",$E1898&gt;0,INT($B1898)&lt;=PlanDate+ROUNDUP(IF(ISNUMBER(SpikeHorizon),SpikeHorizon,INDEX(Buffers!$D:$D,MATCH($H1898,Buffers!$AE:$AE,0))),0),$E1898&gt;=SpikePct*INDEX(Buffers!$P:$P,MATCH($H1898,Buffers!$AE:$AE,0))),"Spike","Not qualified"))))))</f>
        <v/>
      </c>
      <c r="G1898" s="8" t="str">
        <f aca="false">IF($A1898="","",IF(OR($F1898="Past due",$F1898="Due today",$F1898="Spike"),$C1898,0))</f>
        <v/>
      </c>
      <c r="H1898" s="8" t="str">
        <f aca="false">IF($A1898="","",SUBSTITUTE(SUBSTITUTE(SUBSTITUTE($A1898&amp;"","~","~~"),"*","~*"),"?","~?"))</f>
        <v/>
      </c>
    </row>
    <row r="1899" customFormat="false" ht="15" hidden="false" customHeight="false" outlineLevel="0" collapsed="false">
      <c r="A1899" s="11"/>
      <c r="B1899" s="6"/>
      <c r="C1899" s="11"/>
      <c r="D1899" s="11"/>
      <c r="E1899" s="8" t="str">
        <f aca="false">IF($A1899="","",SUMIFS($C:$C,$A:$A,$H1899,$B:$B,"&gt;="&amp;INT($B1899),$B:$B,"&lt;"&amp;(INT($B1899)+1)))</f>
        <v/>
      </c>
      <c r="F1899" s="19" t="str">
        <f aca="false">IF($A1899="","",IF(ISNA(MATCH($H1899,Buffers!$AE:$AE,0)),"Not on Buffers",IF(NOT(ISNUMBER($B1899)),"Needs a date",IF(INT($B1899)&lt;PlanDate,"Past due",IF(INT($B1899)=PlanDate,"Due today",IF(AND(INDEX(Buffers!$L:$L,MATCH($H1899,Buffers!$AE:$AE,0))="Planned",$E1899&gt;0,INT($B1899)&lt;=PlanDate+ROUNDUP(IF(ISNUMBER(SpikeHorizon),SpikeHorizon,INDEX(Buffers!$D:$D,MATCH($H1899,Buffers!$AE:$AE,0))),0),$E1899&gt;=SpikePct*INDEX(Buffers!$P:$P,MATCH($H1899,Buffers!$AE:$AE,0))),"Spike","Not qualified"))))))</f>
        <v/>
      </c>
      <c r="G1899" s="8" t="str">
        <f aca="false">IF($A1899="","",IF(OR($F1899="Past due",$F1899="Due today",$F1899="Spike"),$C1899,0))</f>
        <v/>
      </c>
      <c r="H1899" s="8" t="str">
        <f aca="false">IF($A1899="","",SUBSTITUTE(SUBSTITUTE(SUBSTITUTE($A1899&amp;"","~","~~"),"*","~*"),"?","~?"))</f>
        <v/>
      </c>
    </row>
    <row r="1900" customFormat="false" ht="15" hidden="false" customHeight="false" outlineLevel="0" collapsed="false">
      <c r="A1900" s="11"/>
      <c r="B1900" s="6"/>
      <c r="C1900" s="11"/>
      <c r="D1900" s="11"/>
      <c r="E1900" s="8" t="str">
        <f aca="false">IF($A1900="","",SUMIFS($C:$C,$A:$A,$H1900,$B:$B,"&gt;="&amp;INT($B1900),$B:$B,"&lt;"&amp;(INT($B1900)+1)))</f>
        <v/>
      </c>
      <c r="F1900" s="19" t="str">
        <f aca="false">IF($A1900="","",IF(ISNA(MATCH($H1900,Buffers!$AE:$AE,0)),"Not on Buffers",IF(NOT(ISNUMBER($B1900)),"Needs a date",IF(INT($B1900)&lt;PlanDate,"Past due",IF(INT($B1900)=PlanDate,"Due today",IF(AND(INDEX(Buffers!$L:$L,MATCH($H1900,Buffers!$AE:$AE,0))="Planned",$E1900&gt;0,INT($B1900)&lt;=PlanDate+ROUNDUP(IF(ISNUMBER(SpikeHorizon),SpikeHorizon,INDEX(Buffers!$D:$D,MATCH($H1900,Buffers!$AE:$AE,0))),0),$E1900&gt;=SpikePct*INDEX(Buffers!$P:$P,MATCH($H1900,Buffers!$AE:$AE,0))),"Spike","Not qualified"))))))</f>
        <v/>
      </c>
      <c r="G1900" s="8" t="str">
        <f aca="false">IF($A1900="","",IF(OR($F1900="Past due",$F1900="Due today",$F1900="Spike"),$C1900,0))</f>
        <v/>
      </c>
      <c r="H1900" s="8" t="str">
        <f aca="false">IF($A1900="","",SUBSTITUTE(SUBSTITUTE(SUBSTITUTE($A1900&amp;"","~","~~"),"*","~*"),"?","~?"))</f>
        <v/>
      </c>
    </row>
    <row r="1901" customFormat="false" ht="15" hidden="false" customHeight="false" outlineLevel="0" collapsed="false">
      <c r="A1901" s="11"/>
      <c r="B1901" s="6"/>
      <c r="C1901" s="11"/>
      <c r="D1901" s="11"/>
      <c r="E1901" s="8" t="str">
        <f aca="false">IF($A1901="","",SUMIFS($C:$C,$A:$A,$H1901,$B:$B,"&gt;="&amp;INT($B1901),$B:$B,"&lt;"&amp;(INT($B1901)+1)))</f>
        <v/>
      </c>
      <c r="F1901" s="19" t="str">
        <f aca="false">IF($A1901="","",IF(ISNA(MATCH($H1901,Buffers!$AE:$AE,0)),"Not on Buffers",IF(NOT(ISNUMBER($B1901)),"Needs a date",IF(INT($B1901)&lt;PlanDate,"Past due",IF(INT($B1901)=PlanDate,"Due today",IF(AND(INDEX(Buffers!$L:$L,MATCH($H1901,Buffers!$AE:$AE,0))="Planned",$E1901&gt;0,INT($B1901)&lt;=PlanDate+ROUNDUP(IF(ISNUMBER(SpikeHorizon),SpikeHorizon,INDEX(Buffers!$D:$D,MATCH($H1901,Buffers!$AE:$AE,0))),0),$E1901&gt;=SpikePct*INDEX(Buffers!$P:$P,MATCH($H1901,Buffers!$AE:$AE,0))),"Spike","Not qualified"))))))</f>
        <v/>
      </c>
      <c r="G1901" s="8" t="str">
        <f aca="false">IF($A1901="","",IF(OR($F1901="Past due",$F1901="Due today",$F1901="Spike"),$C1901,0))</f>
        <v/>
      </c>
      <c r="H1901" s="8" t="str">
        <f aca="false">IF($A1901="","",SUBSTITUTE(SUBSTITUTE(SUBSTITUTE($A1901&amp;"","~","~~"),"*","~*"),"?","~?"))</f>
        <v/>
      </c>
    </row>
    <row r="1902" customFormat="false" ht="15" hidden="false" customHeight="false" outlineLevel="0" collapsed="false">
      <c r="A1902" s="11"/>
      <c r="B1902" s="6"/>
      <c r="C1902" s="11"/>
      <c r="D1902" s="11"/>
      <c r="E1902" s="8" t="str">
        <f aca="false">IF($A1902="","",SUMIFS($C:$C,$A:$A,$H1902,$B:$B,"&gt;="&amp;INT($B1902),$B:$B,"&lt;"&amp;(INT($B1902)+1)))</f>
        <v/>
      </c>
      <c r="F1902" s="19" t="str">
        <f aca="false">IF($A1902="","",IF(ISNA(MATCH($H1902,Buffers!$AE:$AE,0)),"Not on Buffers",IF(NOT(ISNUMBER($B1902)),"Needs a date",IF(INT($B1902)&lt;PlanDate,"Past due",IF(INT($B1902)=PlanDate,"Due today",IF(AND(INDEX(Buffers!$L:$L,MATCH($H1902,Buffers!$AE:$AE,0))="Planned",$E1902&gt;0,INT($B1902)&lt;=PlanDate+ROUNDUP(IF(ISNUMBER(SpikeHorizon),SpikeHorizon,INDEX(Buffers!$D:$D,MATCH($H1902,Buffers!$AE:$AE,0))),0),$E1902&gt;=SpikePct*INDEX(Buffers!$P:$P,MATCH($H1902,Buffers!$AE:$AE,0))),"Spike","Not qualified"))))))</f>
        <v/>
      </c>
      <c r="G1902" s="8" t="str">
        <f aca="false">IF($A1902="","",IF(OR($F1902="Past due",$F1902="Due today",$F1902="Spike"),$C1902,0))</f>
        <v/>
      </c>
      <c r="H1902" s="8" t="str">
        <f aca="false">IF($A1902="","",SUBSTITUTE(SUBSTITUTE(SUBSTITUTE($A1902&amp;"","~","~~"),"*","~*"),"?","~?"))</f>
        <v/>
      </c>
    </row>
    <row r="1903" customFormat="false" ht="15" hidden="false" customHeight="false" outlineLevel="0" collapsed="false">
      <c r="A1903" s="11"/>
      <c r="B1903" s="6"/>
      <c r="C1903" s="11"/>
      <c r="D1903" s="11"/>
      <c r="E1903" s="8" t="str">
        <f aca="false">IF($A1903="","",SUMIFS($C:$C,$A:$A,$H1903,$B:$B,"&gt;="&amp;INT($B1903),$B:$B,"&lt;"&amp;(INT($B1903)+1)))</f>
        <v/>
      </c>
      <c r="F1903" s="19" t="str">
        <f aca="false">IF($A1903="","",IF(ISNA(MATCH($H1903,Buffers!$AE:$AE,0)),"Not on Buffers",IF(NOT(ISNUMBER($B1903)),"Needs a date",IF(INT($B1903)&lt;PlanDate,"Past due",IF(INT($B1903)=PlanDate,"Due today",IF(AND(INDEX(Buffers!$L:$L,MATCH($H1903,Buffers!$AE:$AE,0))="Planned",$E1903&gt;0,INT($B1903)&lt;=PlanDate+ROUNDUP(IF(ISNUMBER(SpikeHorizon),SpikeHorizon,INDEX(Buffers!$D:$D,MATCH($H1903,Buffers!$AE:$AE,0))),0),$E1903&gt;=SpikePct*INDEX(Buffers!$P:$P,MATCH($H1903,Buffers!$AE:$AE,0))),"Spike","Not qualified"))))))</f>
        <v/>
      </c>
      <c r="G1903" s="8" t="str">
        <f aca="false">IF($A1903="","",IF(OR($F1903="Past due",$F1903="Due today",$F1903="Spike"),$C1903,0))</f>
        <v/>
      </c>
      <c r="H1903" s="8" t="str">
        <f aca="false">IF($A1903="","",SUBSTITUTE(SUBSTITUTE(SUBSTITUTE($A1903&amp;"","~","~~"),"*","~*"),"?","~?"))</f>
        <v/>
      </c>
    </row>
    <row r="1904" customFormat="false" ht="15" hidden="false" customHeight="false" outlineLevel="0" collapsed="false">
      <c r="A1904" s="11"/>
      <c r="B1904" s="6"/>
      <c r="C1904" s="11"/>
      <c r="D1904" s="11"/>
      <c r="E1904" s="8" t="str">
        <f aca="false">IF($A1904="","",SUMIFS($C:$C,$A:$A,$H1904,$B:$B,"&gt;="&amp;INT($B1904),$B:$B,"&lt;"&amp;(INT($B1904)+1)))</f>
        <v/>
      </c>
      <c r="F1904" s="19" t="str">
        <f aca="false">IF($A1904="","",IF(ISNA(MATCH($H1904,Buffers!$AE:$AE,0)),"Not on Buffers",IF(NOT(ISNUMBER($B1904)),"Needs a date",IF(INT($B1904)&lt;PlanDate,"Past due",IF(INT($B1904)=PlanDate,"Due today",IF(AND(INDEX(Buffers!$L:$L,MATCH($H1904,Buffers!$AE:$AE,0))="Planned",$E1904&gt;0,INT($B1904)&lt;=PlanDate+ROUNDUP(IF(ISNUMBER(SpikeHorizon),SpikeHorizon,INDEX(Buffers!$D:$D,MATCH($H1904,Buffers!$AE:$AE,0))),0),$E1904&gt;=SpikePct*INDEX(Buffers!$P:$P,MATCH($H1904,Buffers!$AE:$AE,0))),"Spike","Not qualified"))))))</f>
        <v/>
      </c>
      <c r="G1904" s="8" t="str">
        <f aca="false">IF($A1904="","",IF(OR($F1904="Past due",$F1904="Due today",$F1904="Spike"),$C1904,0))</f>
        <v/>
      </c>
      <c r="H1904" s="8" t="str">
        <f aca="false">IF($A1904="","",SUBSTITUTE(SUBSTITUTE(SUBSTITUTE($A1904&amp;"","~","~~"),"*","~*"),"?","~?"))</f>
        <v/>
      </c>
    </row>
    <row r="1905" customFormat="false" ht="15" hidden="false" customHeight="false" outlineLevel="0" collapsed="false">
      <c r="A1905" s="11"/>
      <c r="B1905" s="6"/>
      <c r="C1905" s="11"/>
      <c r="D1905" s="11"/>
      <c r="E1905" s="8" t="str">
        <f aca="false">IF($A1905="","",SUMIFS($C:$C,$A:$A,$H1905,$B:$B,"&gt;="&amp;INT($B1905),$B:$B,"&lt;"&amp;(INT($B1905)+1)))</f>
        <v/>
      </c>
      <c r="F1905" s="19" t="str">
        <f aca="false">IF($A1905="","",IF(ISNA(MATCH($H1905,Buffers!$AE:$AE,0)),"Not on Buffers",IF(NOT(ISNUMBER($B1905)),"Needs a date",IF(INT($B1905)&lt;PlanDate,"Past due",IF(INT($B1905)=PlanDate,"Due today",IF(AND(INDEX(Buffers!$L:$L,MATCH($H1905,Buffers!$AE:$AE,0))="Planned",$E1905&gt;0,INT($B1905)&lt;=PlanDate+ROUNDUP(IF(ISNUMBER(SpikeHorizon),SpikeHorizon,INDEX(Buffers!$D:$D,MATCH($H1905,Buffers!$AE:$AE,0))),0),$E1905&gt;=SpikePct*INDEX(Buffers!$P:$P,MATCH($H1905,Buffers!$AE:$AE,0))),"Spike","Not qualified"))))))</f>
        <v/>
      </c>
      <c r="G1905" s="8" t="str">
        <f aca="false">IF($A1905="","",IF(OR($F1905="Past due",$F1905="Due today",$F1905="Spike"),$C1905,0))</f>
        <v/>
      </c>
      <c r="H1905" s="8" t="str">
        <f aca="false">IF($A1905="","",SUBSTITUTE(SUBSTITUTE(SUBSTITUTE($A1905&amp;"","~","~~"),"*","~*"),"?","~?"))</f>
        <v/>
      </c>
    </row>
    <row r="1906" customFormat="false" ht="15" hidden="false" customHeight="false" outlineLevel="0" collapsed="false">
      <c r="A1906" s="11"/>
      <c r="B1906" s="6"/>
      <c r="C1906" s="11"/>
      <c r="D1906" s="11"/>
      <c r="E1906" s="8" t="str">
        <f aca="false">IF($A1906="","",SUMIFS($C:$C,$A:$A,$H1906,$B:$B,"&gt;="&amp;INT($B1906),$B:$B,"&lt;"&amp;(INT($B1906)+1)))</f>
        <v/>
      </c>
      <c r="F1906" s="19" t="str">
        <f aca="false">IF($A1906="","",IF(ISNA(MATCH($H1906,Buffers!$AE:$AE,0)),"Not on Buffers",IF(NOT(ISNUMBER($B1906)),"Needs a date",IF(INT($B1906)&lt;PlanDate,"Past due",IF(INT($B1906)=PlanDate,"Due today",IF(AND(INDEX(Buffers!$L:$L,MATCH($H1906,Buffers!$AE:$AE,0))="Planned",$E1906&gt;0,INT($B1906)&lt;=PlanDate+ROUNDUP(IF(ISNUMBER(SpikeHorizon),SpikeHorizon,INDEX(Buffers!$D:$D,MATCH($H1906,Buffers!$AE:$AE,0))),0),$E1906&gt;=SpikePct*INDEX(Buffers!$P:$P,MATCH($H1906,Buffers!$AE:$AE,0))),"Spike","Not qualified"))))))</f>
        <v/>
      </c>
      <c r="G1906" s="8" t="str">
        <f aca="false">IF($A1906="","",IF(OR($F1906="Past due",$F1906="Due today",$F1906="Spike"),$C1906,0))</f>
        <v/>
      </c>
      <c r="H1906" s="8" t="str">
        <f aca="false">IF($A1906="","",SUBSTITUTE(SUBSTITUTE(SUBSTITUTE($A1906&amp;"","~","~~"),"*","~*"),"?","~?"))</f>
        <v/>
      </c>
    </row>
    <row r="1907" customFormat="false" ht="15" hidden="false" customHeight="false" outlineLevel="0" collapsed="false">
      <c r="A1907" s="11"/>
      <c r="B1907" s="6"/>
      <c r="C1907" s="11"/>
      <c r="D1907" s="11"/>
      <c r="E1907" s="8" t="str">
        <f aca="false">IF($A1907="","",SUMIFS($C:$C,$A:$A,$H1907,$B:$B,"&gt;="&amp;INT($B1907),$B:$B,"&lt;"&amp;(INT($B1907)+1)))</f>
        <v/>
      </c>
      <c r="F1907" s="19" t="str">
        <f aca="false">IF($A1907="","",IF(ISNA(MATCH($H1907,Buffers!$AE:$AE,0)),"Not on Buffers",IF(NOT(ISNUMBER($B1907)),"Needs a date",IF(INT($B1907)&lt;PlanDate,"Past due",IF(INT($B1907)=PlanDate,"Due today",IF(AND(INDEX(Buffers!$L:$L,MATCH($H1907,Buffers!$AE:$AE,0))="Planned",$E1907&gt;0,INT($B1907)&lt;=PlanDate+ROUNDUP(IF(ISNUMBER(SpikeHorizon),SpikeHorizon,INDEX(Buffers!$D:$D,MATCH($H1907,Buffers!$AE:$AE,0))),0),$E1907&gt;=SpikePct*INDEX(Buffers!$P:$P,MATCH($H1907,Buffers!$AE:$AE,0))),"Spike","Not qualified"))))))</f>
        <v/>
      </c>
      <c r="G1907" s="8" t="str">
        <f aca="false">IF($A1907="","",IF(OR($F1907="Past due",$F1907="Due today",$F1907="Spike"),$C1907,0))</f>
        <v/>
      </c>
      <c r="H1907" s="8" t="str">
        <f aca="false">IF($A1907="","",SUBSTITUTE(SUBSTITUTE(SUBSTITUTE($A1907&amp;"","~","~~"),"*","~*"),"?","~?"))</f>
        <v/>
      </c>
    </row>
    <row r="1908" customFormat="false" ht="15" hidden="false" customHeight="false" outlineLevel="0" collapsed="false">
      <c r="A1908" s="11"/>
      <c r="B1908" s="6"/>
      <c r="C1908" s="11"/>
      <c r="D1908" s="11"/>
      <c r="E1908" s="8" t="str">
        <f aca="false">IF($A1908="","",SUMIFS($C:$C,$A:$A,$H1908,$B:$B,"&gt;="&amp;INT($B1908),$B:$B,"&lt;"&amp;(INT($B1908)+1)))</f>
        <v/>
      </c>
      <c r="F1908" s="19" t="str">
        <f aca="false">IF($A1908="","",IF(ISNA(MATCH($H1908,Buffers!$AE:$AE,0)),"Not on Buffers",IF(NOT(ISNUMBER($B1908)),"Needs a date",IF(INT($B1908)&lt;PlanDate,"Past due",IF(INT($B1908)=PlanDate,"Due today",IF(AND(INDEX(Buffers!$L:$L,MATCH($H1908,Buffers!$AE:$AE,0))="Planned",$E1908&gt;0,INT($B1908)&lt;=PlanDate+ROUNDUP(IF(ISNUMBER(SpikeHorizon),SpikeHorizon,INDEX(Buffers!$D:$D,MATCH($H1908,Buffers!$AE:$AE,0))),0),$E1908&gt;=SpikePct*INDEX(Buffers!$P:$P,MATCH($H1908,Buffers!$AE:$AE,0))),"Spike","Not qualified"))))))</f>
        <v/>
      </c>
      <c r="G1908" s="8" t="str">
        <f aca="false">IF($A1908="","",IF(OR($F1908="Past due",$F1908="Due today",$F1908="Spike"),$C1908,0))</f>
        <v/>
      </c>
      <c r="H1908" s="8" t="str">
        <f aca="false">IF($A1908="","",SUBSTITUTE(SUBSTITUTE(SUBSTITUTE($A1908&amp;"","~","~~"),"*","~*"),"?","~?"))</f>
        <v/>
      </c>
    </row>
    <row r="1909" customFormat="false" ht="15" hidden="false" customHeight="false" outlineLevel="0" collapsed="false">
      <c r="A1909" s="11"/>
      <c r="B1909" s="6"/>
      <c r="C1909" s="11"/>
      <c r="D1909" s="11"/>
      <c r="E1909" s="8" t="str">
        <f aca="false">IF($A1909="","",SUMIFS($C:$C,$A:$A,$H1909,$B:$B,"&gt;="&amp;INT($B1909),$B:$B,"&lt;"&amp;(INT($B1909)+1)))</f>
        <v/>
      </c>
      <c r="F1909" s="19" t="str">
        <f aca="false">IF($A1909="","",IF(ISNA(MATCH($H1909,Buffers!$AE:$AE,0)),"Not on Buffers",IF(NOT(ISNUMBER($B1909)),"Needs a date",IF(INT($B1909)&lt;PlanDate,"Past due",IF(INT($B1909)=PlanDate,"Due today",IF(AND(INDEX(Buffers!$L:$L,MATCH($H1909,Buffers!$AE:$AE,0))="Planned",$E1909&gt;0,INT($B1909)&lt;=PlanDate+ROUNDUP(IF(ISNUMBER(SpikeHorizon),SpikeHorizon,INDEX(Buffers!$D:$D,MATCH($H1909,Buffers!$AE:$AE,0))),0),$E1909&gt;=SpikePct*INDEX(Buffers!$P:$P,MATCH($H1909,Buffers!$AE:$AE,0))),"Spike","Not qualified"))))))</f>
        <v/>
      </c>
      <c r="G1909" s="8" t="str">
        <f aca="false">IF($A1909="","",IF(OR($F1909="Past due",$F1909="Due today",$F1909="Spike"),$C1909,0))</f>
        <v/>
      </c>
      <c r="H1909" s="8" t="str">
        <f aca="false">IF($A1909="","",SUBSTITUTE(SUBSTITUTE(SUBSTITUTE($A1909&amp;"","~","~~"),"*","~*"),"?","~?"))</f>
        <v/>
      </c>
    </row>
    <row r="1910" customFormat="false" ht="15" hidden="false" customHeight="false" outlineLevel="0" collapsed="false">
      <c r="A1910" s="11"/>
      <c r="B1910" s="6"/>
      <c r="C1910" s="11"/>
      <c r="D1910" s="11"/>
      <c r="E1910" s="8" t="str">
        <f aca="false">IF($A1910="","",SUMIFS($C:$C,$A:$A,$H1910,$B:$B,"&gt;="&amp;INT($B1910),$B:$B,"&lt;"&amp;(INT($B1910)+1)))</f>
        <v/>
      </c>
      <c r="F1910" s="19" t="str">
        <f aca="false">IF($A1910="","",IF(ISNA(MATCH($H1910,Buffers!$AE:$AE,0)),"Not on Buffers",IF(NOT(ISNUMBER($B1910)),"Needs a date",IF(INT($B1910)&lt;PlanDate,"Past due",IF(INT($B1910)=PlanDate,"Due today",IF(AND(INDEX(Buffers!$L:$L,MATCH($H1910,Buffers!$AE:$AE,0))="Planned",$E1910&gt;0,INT($B1910)&lt;=PlanDate+ROUNDUP(IF(ISNUMBER(SpikeHorizon),SpikeHorizon,INDEX(Buffers!$D:$D,MATCH($H1910,Buffers!$AE:$AE,0))),0),$E1910&gt;=SpikePct*INDEX(Buffers!$P:$P,MATCH($H1910,Buffers!$AE:$AE,0))),"Spike","Not qualified"))))))</f>
        <v/>
      </c>
      <c r="G1910" s="8" t="str">
        <f aca="false">IF($A1910="","",IF(OR($F1910="Past due",$F1910="Due today",$F1910="Spike"),$C1910,0))</f>
        <v/>
      </c>
      <c r="H1910" s="8" t="str">
        <f aca="false">IF($A1910="","",SUBSTITUTE(SUBSTITUTE(SUBSTITUTE($A1910&amp;"","~","~~"),"*","~*"),"?","~?"))</f>
        <v/>
      </c>
    </row>
    <row r="1911" customFormat="false" ht="15" hidden="false" customHeight="false" outlineLevel="0" collapsed="false">
      <c r="A1911" s="11"/>
      <c r="B1911" s="6"/>
      <c r="C1911" s="11"/>
      <c r="D1911" s="11"/>
      <c r="E1911" s="8" t="str">
        <f aca="false">IF($A1911="","",SUMIFS($C:$C,$A:$A,$H1911,$B:$B,"&gt;="&amp;INT($B1911),$B:$B,"&lt;"&amp;(INT($B1911)+1)))</f>
        <v/>
      </c>
      <c r="F1911" s="19" t="str">
        <f aca="false">IF($A1911="","",IF(ISNA(MATCH($H1911,Buffers!$AE:$AE,0)),"Not on Buffers",IF(NOT(ISNUMBER($B1911)),"Needs a date",IF(INT($B1911)&lt;PlanDate,"Past due",IF(INT($B1911)=PlanDate,"Due today",IF(AND(INDEX(Buffers!$L:$L,MATCH($H1911,Buffers!$AE:$AE,0))="Planned",$E1911&gt;0,INT($B1911)&lt;=PlanDate+ROUNDUP(IF(ISNUMBER(SpikeHorizon),SpikeHorizon,INDEX(Buffers!$D:$D,MATCH($H1911,Buffers!$AE:$AE,0))),0),$E1911&gt;=SpikePct*INDEX(Buffers!$P:$P,MATCH($H1911,Buffers!$AE:$AE,0))),"Spike","Not qualified"))))))</f>
        <v/>
      </c>
      <c r="G1911" s="8" t="str">
        <f aca="false">IF($A1911="","",IF(OR($F1911="Past due",$F1911="Due today",$F1911="Spike"),$C1911,0))</f>
        <v/>
      </c>
      <c r="H1911" s="8" t="str">
        <f aca="false">IF($A1911="","",SUBSTITUTE(SUBSTITUTE(SUBSTITUTE($A1911&amp;"","~","~~"),"*","~*"),"?","~?"))</f>
        <v/>
      </c>
    </row>
    <row r="1912" customFormat="false" ht="15" hidden="false" customHeight="false" outlineLevel="0" collapsed="false">
      <c r="A1912" s="11"/>
      <c r="B1912" s="6"/>
      <c r="C1912" s="11"/>
      <c r="D1912" s="11"/>
      <c r="E1912" s="8" t="str">
        <f aca="false">IF($A1912="","",SUMIFS($C:$C,$A:$A,$H1912,$B:$B,"&gt;="&amp;INT($B1912),$B:$B,"&lt;"&amp;(INT($B1912)+1)))</f>
        <v/>
      </c>
      <c r="F1912" s="19" t="str">
        <f aca="false">IF($A1912="","",IF(ISNA(MATCH($H1912,Buffers!$AE:$AE,0)),"Not on Buffers",IF(NOT(ISNUMBER($B1912)),"Needs a date",IF(INT($B1912)&lt;PlanDate,"Past due",IF(INT($B1912)=PlanDate,"Due today",IF(AND(INDEX(Buffers!$L:$L,MATCH($H1912,Buffers!$AE:$AE,0))="Planned",$E1912&gt;0,INT($B1912)&lt;=PlanDate+ROUNDUP(IF(ISNUMBER(SpikeHorizon),SpikeHorizon,INDEX(Buffers!$D:$D,MATCH($H1912,Buffers!$AE:$AE,0))),0),$E1912&gt;=SpikePct*INDEX(Buffers!$P:$P,MATCH($H1912,Buffers!$AE:$AE,0))),"Spike","Not qualified"))))))</f>
        <v/>
      </c>
      <c r="G1912" s="8" t="str">
        <f aca="false">IF($A1912="","",IF(OR($F1912="Past due",$F1912="Due today",$F1912="Spike"),$C1912,0))</f>
        <v/>
      </c>
      <c r="H1912" s="8" t="str">
        <f aca="false">IF($A1912="","",SUBSTITUTE(SUBSTITUTE(SUBSTITUTE($A1912&amp;"","~","~~"),"*","~*"),"?","~?"))</f>
        <v/>
      </c>
    </row>
    <row r="1913" customFormat="false" ht="15" hidden="false" customHeight="false" outlineLevel="0" collapsed="false">
      <c r="A1913" s="11"/>
      <c r="B1913" s="6"/>
      <c r="C1913" s="11"/>
      <c r="D1913" s="11"/>
      <c r="E1913" s="8" t="str">
        <f aca="false">IF($A1913="","",SUMIFS($C:$C,$A:$A,$H1913,$B:$B,"&gt;="&amp;INT($B1913),$B:$B,"&lt;"&amp;(INT($B1913)+1)))</f>
        <v/>
      </c>
      <c r="F1913" s="19" t="str">
        <f aca="false">IF($A1913="","",IF(ISNA(MATCH($H1913,Buffers!$AE:$AE,0)),"Not on Buffers",IF(NOT(ISNUMBER($B1913)),"Needs a date",IF(INT($B1913)&lt;PlanDate,"Past due",IF(INT($B1913)=PlanDate,"Due today",IF(AND(INDEX(Buffers!$L:$L,MATCH($H1913,Buffers!$AE:$AE,0))="Planned",$E1913&gt;0,INT($B1913)&lt;=PlanDate+ROUNDUP(IF(ISNUMBER(SpikeHorizon),SpikeHorizon,INDEX(Buffers!$D:$D,MATCH($H1913,Buffers!$AE:$AE,0))),0),$E1913&gt;=SpikePct*INDEX(Buffers!$P:$P,MATCH($H1913,Buffers!$AE:$AE,0))),"Spike","Not qualified"))))))</f>
        <v/>
      </c>
      <c r="G1913" s="8" t="str">
        <f aca="false">IF($A1913="","",IF(OR($F1913="Past due",$F1913="Due today",$F1913="Spike"),$C1913,0))</f>
        <v/>
      </c>
      <c r="H1913" s="8" t="str">
        <f aca="false">IF($A1913="","",SUBSTITUTE(SUBSTITUTE(SUBSTITUTE($A1913&amp;"","~","~~"),"*","~*"),"?","~?"))</f>
        <v/>
      </c>
    </row>
    <row r="1914" customFormat="false" ht="15" hidden="false" customHeight="false" outlineLevel="0" collapsed="false">
      <c r="A1914" s="11"/>
      <c r="B1914" s="6"/>
      <c r="C1914" s="11"/>
      <c r="D1914" s="11"/>
      <c r="E1914" s="8" t="str">
        <f aca="false">IF($A1914="","",SUMIFS($C:$C,$A:$A,$H1914,$B:$B,"&gt;="&amp;INT($B1914),$B:$B,"&lt;"&amp;(INT($B1914)+1)))</f>
        <v/>
      </c>
      <c r="F1914" s="19" t="str">
        <f aca="false">IF($A1914="","",IF(ISNA(MATCH($H1914,Buffers!$AE:$AE,0)),"Not on Buffers",IF(NOT(ISNUMBER($B1914)),"Needs a date",IF(INT($B1914)&lt;PlanDate,"Past due",IF(INT($B1914)=PlanDate,"Due today",IF(AND(INDEX(Buffers!$L:$L,MATCH($H1914,Buffers!$AE:$AE,0))="Planned",$E1914&gt;0,INT($B1914)&lt;=PlanDate+ROUNDUP(IF(ISNUMBER(SpikeHorizon),SpikeHorizon,INDEX(Buffers!$D:$D,MATCH($H1914,Buffers!$AE:$AE,0))),0),$E1914&gt;=SpikePct*INDEX(Buffers!$P:$P,MATCH($H1914,Buffers!$AE:$AE,0))),"Spike","Not qualified"))))))</f>
        <v/>
      </c>
      <c r="G1914" s="8" t="str">
        <f aca="false">IF($A1914="","",IF(OR($F1914="Past due",$F1914="Due today",$F1914="Spike"),$C1914,0))</f>
        <v/>
      </c>
      <c r="H1914" s="8" t="str">
        <f aca="false">IF($A1914="","",SUBSTITUTE(SUBSTITUTE(SUBSTITUTE($A1914&amp;"","~","~~"),"*","~*"),"?","~?"))</f>
        <v/>
      </c>
    </row>
    <row r="1915" customFormat="false" ht="15" hidden="false" customHeight="false" outlineLevel="0" collapsed="false">
      <c r="A1915" s="11"/>
      <c r="B1915" s="6"/>
      <c r="C1915" s="11"/>
      <c r="D1915" s="11"/>
      <c r="E1915" s="8" t="str">
        <f aca="false">IF($A1915="","",SUMIFS($C:$C,$A:$A,$H1915,$B:$B,"&gt;="&amp;INT($B1915),$B:$B,"&lt;"&amp;(INT($B1915)+1)))</f>
        <v/>
      </c>
      <c r="F1915" s="19" t="str">
        <f aca="false">IF($A1915="","",IF(ISNA(MATCH($H1915,Buffers!$AE:$AE,0)),"Not on Buffers",IF(NOT(ISNUMBER($B1915)),"Needs a date",IF(INT($B1915)&lt;PlanDate,"Past due",IF(INT($B1915)=PlanDate,"Due today",IF(AND(INDEX(Buffers!$L:$L,MATCH($H1915,Buffers!$AE:$AE,0))="Planned",$E1915&gt;0,INT($B1915)&lt;=PlanDate+ROUNDUP(IF(ISNUMBER(SpikeHorizon),SpikeHorizon,INDEX(Buffers!$D:$D,MATCH($H1915,Buffers!$AE:$AE,0))),0),$E1915&gt;=SpikePct*INDEX(Buffers!$P:$P,MATCH($H1915,Buffers!$AE:$AE,0))),"Spike","Not qualified"))))))</f>
        <v/>
      </c>
      <c r="G1915" s="8" t="str">
        <f aca="false">IF($A1915="","",IF(OR($F1915="Past due",$F1915="Due today",$F1915="Spike"),$C1915,0))</f>
        <v/>
      </c>
      <c r="H1915" s="8" t="str">
        <f aca="false">IF($A1915="","",SUBSTITUTE(SUBSTITUTE(SUBSTITUTE($A1915&amp;"","~","~~"),"*","~*"),"?","~?"))</f>
        <v/>
      </c>
    </row>
    <row r="1916" customFormat="false" ht="15" hidden="false" customHeight="false" outlineLevel="0" collapsed="false">
      <c r="A1916" s="11"/>
      <c r="B1916" s="6"/>
      <c r="C1916" s="11"/>
      <c r="D1916" s="11"/>
      <c r="E1916" s="8" t="str">
        <f aca="false">IF($A1916="","",SUMIFS($C:$C,$A:$A,$H1916,$B:$B,"&gt;="&amp;INT($B1916),$B:$B,"&lt;"&amp;(INT($B1916)+1)))</f>
        <v/>
      </c>
      <c r="F1916" s="19" t="str">
        <f aca="false">IF($A1916="","",IF(ISNA(MATCH($H1916,Buffers!$AE:$AE,0)),"Not on Buffers",IF(NOT(ISNUMBER($B1916)),"Needs a date",IF(INT($B1916)&lt;PlanDate,"Past due",IF(INT($B1916)=PlanDate,"Due today",IF(AND(INDEX(Buffers!$L:$L,MATCH($H1916,Buffers!$AE:$AE,0))="Planned",$E1916&gt;0,INT($B1916)&lt;=PlanDate+ROUNDUP(IF(ISNUMBER(SpikeHorizon),SpikeHorizon,INDEX(Buffers!$D:$D,MATCH($H1916,Buffers!$AE:$AE,0))),0),$E1916&gt;=SpikePct*INDEX(Buffers!$P:$P,MATCH($H1916,Buffers!$AE:$AE,0))),"Spike","Not qualified"))))))</f>
        <v/>
      </c>
      <c r="G1916" s="8" t="str">
        <f aca="false">IF($A1916="","",IF(OR($F1916="Past due",$F1916="Due today",$F1916="Spike"),$C1916,0))</f>
        <v/>
      </c>
      <c r="H1916" s="8" t="str">
        <f aca="false">IF($A1916="","",SUBSTITUTE(SUBSTITUTE(SUBSTITUTE($A1916&amp;"","~","~~"),"*","~*"),"?","~?"))</f>
        <v/>
      </c>
    </row>
    <row r="1917" customFormat="false" ht="15" hidden="false" customHeight="false" outlineLevel="0" collapsed="false">
      <c r="A1917" s="11"/>
      <c r="B1917" s="6"/>
      <c r="C1917" s="11"/>
      <c r="D1917" s="11"/>
      <c r="E1917" s="8" t="str">
        <f aca="false">IF($A1917="","",SUMIFS($C:$C,$A:$A,$H1917,$B:$B,"&gt;="&amp;INT($B1917),$B:$B,"&lt;"&amp;(INT($B1917)+1)))</f>
        <v/>
      </c>
      <c r="F1917" s="19" t="str">
        <f aca="false">IF($A1917="","",IF(ISNA(MATCH($H1917,Buffers!$AE:$AE,0)),"Not on Buffers",IF(NOT(ISNUMBER($B1917)),"Needs a date",IF(INT($B1917)&lt;PlanDate,"Past due",IF(INT($B1917)=PlanDate,"Due today",IF(AND(INDEX(Buffers!$L:$L,MATCH($H1917,Buffers!$AE:$AE,0))="Planned",$E1917&gt;0,INT($B1917)&lt;=PlanDate+ROUNDUP(IF(ISNUMBER(SpikeHorizon),SpikeHorizon,INDEX(Buffers!$D:$D,MATCH($H1917,Buffers!$AE:$AE,0))),0),$E1917&gt;=SpikePct*INDEX(Buffers!$P:$P,MATCH($H1917,Buffers!$AE:$AE,0))),"Spike","Not qualified"))))))</f>
        <v/>
      </c>
      <c r="G1917" s="8" t="str">
        <f aca="false">IF($A1917="","",IF(OR($F1917="Past due",$F1917="Due today",$F1917="Spike"),$C1917,0))</f>
        <v/>
      </c>
      <c r="H1917" s="8" t="str">
        <f aca="false">IF($A1917="","",SUBSTITUTE(SUBSTITUTE(SUBSTITUTE($A1917&amp;"","~","~~"),"*","~*"),"?","~?"))</f>
        <v/>
      </c>
    </row>
    <row r="1918" customFormat="false" ht="15" hidden="false" customHeight="false" outlineLevel="0" collapsed="false">
      <c r="A1918" s="11"/>
      <c r="B1918" s="6"/>
      <c r="C1918" s="11"/>
      <c r="D1918" s="11"/>
      <c r="E1918" s="8" t="str">
        <f aca="false">IF($A1918="","",SUMIFS($C:$C,$A:$A,$H1918,$B:$B,"&gt;="&amp;INT($B1918),$B:$B,"&lt;"&amp;(INT($B1918)+1)))</f>
        <v/>
      </c>
      <c r="F1918" s="19" t="str">
        <f aca="false">IF($A1918="","",IF(ISNA(MATCH($H1918,Buffers!$AE:$AE,0)),"Not on Buffers",IF(NOT(ISNUMBER($B1918)),"Needs a date",IF(INT($B1918)&lt;PlanDate,"Past due",IF(INT($B1918)=PlanDate,"Due today",IF(AND(INDEX(Buffers!$L:$L,MATCH($H1918,Buffers!$AE:$AE,0))="Planned",$E1918&gt;0,INT($B1918)&lt;=PlanDate+ROUNDUP(IF(ISNUMBER(SpikeHorizon),SpikeHorizon,INDEX(Buffers!$D:$D,MATCH($H1918,Buffers!$AE:$AE,0))),0),$E1918&gt;=SpikePct*INDEX(Buffers!$P:$P,MATCH($H1918,Buffers!$AE:$AE,0))),"Spike","Not qualified"))))))</f>
        <v/>
      </c>
      <c r="G1918" s="8" t="str">
        <f aca="false">IF($A1918="","",IF(OR($F1918="Past due",$F1918="Due today",$F1918="Spike"),$C1918,0))</f>
        <v/>
      </c>
      <c r="H1918" s="8" t="str">
        <f aca="false">IF($A1918="","",SUBSTITUTE(SUBSTITUTE(SUBSTITUTE($A1918&amp;"","~","~~"),"*","~*"),"?","~?"))</f>
        <v/>
      </c>
    </row>
    <row r="1919" customFormat="false" ht="15" hidden="false" customHeight="false" outlineLevel="0" collapsed="false">
      <c r="A1919" s="11"/>
      <c r="B1919" s="6"/>
      <c r="C1919" s="11"/>
      <c r="D1919" s="11"/>
      <c r="E1919" s="8" t="str">
        <f aca="false">IF($A1919="","",SUMIFS($C:$C,$A:$A,$H1919,$B:$B,"&gt;="&amp;INT($B1919),$B:$B,"&lt;"&amp;(INT($B1919)+1)))</f>
        <v/>
      </c>
      <c r="F1919" s="19" t="str">
        <f aca="false">IF($A1919="","",IF(ISNA(MATCH($H1919,Buffers!$AE:$AE,0)),"Not on Buffers",IF(NOT(ISNUMBER($B1919)),"Needs a date",IF(INT($B1919)&lt;PlanDate,"Past due",IF(INT($B1919)=PlanDate,"Due today",IF(AND(INDEX(Buffers!$L:$L,MATCH($H1919,Buffers!$AE:$AE,0))="Planned",$E1919&gt;0,INT($B1919)&lt;=PlanDate+ROUNDUP(IF(ISNUMBER(SpikeHorizon),SpikeHorizon,INDEX(Buffers!$D:$D,MATCH($H1919,Buffers!$AE:$AE,0))),0),$E1919&gt;=SpikePct*INDEX(Buffers!$P:$P,MATCH($H1919,Buffers!$AE:$AE,0))),"Spike","Not qualified"))))))</f>
        <v/>
      </c>
      <c r="G1919" s="8" t="str">
        <f aca="false">IF($A1919="","",IF(OR($F1919="Past due",$F1919="Due today",$F1919="Spike"),$C1919,0))</f>
        <v/>
      </c>
      <c r="H1919" s="8" t="str">
        <f aca="false">IF($A1919="","",SUBSTITUTE(SUBSTITUTE(SUBSTITUTE($A1919&amp;"","~","~~"),"*","~*"),"?","~?"))</f>
        <v/>
      </c>
    </row>
    <row r="1920" customFormat="false" ht="15" hidden="false" customHeight="false" outlineLevel="0" collapsed="false">
      <c r="A1920" s="11"/>
      <c r="B1920" s="6"/>
      <c r="C1920" s="11"/>
      <c r="D1920" s="11"/>
      <c r="E1920" s="8" t="str">
        <f aca="false">IF($A1920="","",SUMIFS($C:$C,$A:$A,$H1920,$B:$B,"&gt;="&amp;INT($B1920),$B:$B,"&lt;"&amp;(INT($B1920)+1)))</f>
        <v/>
      </c>
      <c r="F1920" s="19" t="str">
        <f aca="false">IF($A1920="","",IF(ISNA(MATCH($H1920,Buffers!$AE:$AE,0)),"Not on Buffers",IF(NOT(ISNUMBER($B1920)),"Needs a date",IF(INT($B1920)&lt;PlanDate,"Past due",IF(INT($B1920)=PlanDate,"Due today",IF(AND(INDEX(Buffers!$L:$L,MATCH($H1920,Buffers!$AE:$AE,0))="Planned",$E1920&gt;0,INT($B1920)&lt;=PlanDate+ROUNDUP(IF(ISNUMBER(SpikeHorizon),SpikeHorizon,INDEX(Buffers!$D:$D,MATCH($H1920,Buffers!$AE:$AE,0))),0),$E1920&gt;=SpikePct*INDEX(Buffers!$P:$P,MATCH($H1920,Buffers!$AE:$AE,0))),"Spike","Not qualified"))))))</f>
        <v/>
      </c>
      <c r="G1920" s="8" t="str">
        <f aca="false">IF($A1920="","",IF(OR($F1920="Past due",$F1920="Due today",$F1920="Spike"),$C1920,0))</f>
        <v/>
      </c>
      <c r="H1920" s="8" t="str">
        <f aca="false">IF($A1920="","",SUBSTITUTE(SUBSTITUTE(SUBSTITUTE($A1920&amp;"","~","~~"),"*","~*"),"?","~?"))</f>
        <v/>
      </c>
    </row>
    <row r="1921" customFormat="false" ht="15" hidden="false" customHeight="false" outlineLevel="0" collapsed="false">
      <c r="A1921" s="11"/>
      <c r="B1921" s="6"/>
      <c r="C1921" s="11"/>
      <c r="D1921" s="11"/>
      <c r="E1921" s="8" t="str">
        <f aca="false">IF($A1921="","",SUMIFS($C:$C,$A:$A,$H1921,$B:$B,"&gt;="&amp;INT($B1921),$B:$B,"&lt;"&amp;(INT($B1921)+1)))</f>
        <v/>
      </c>
      <c r="F1921" s="19" t="str">
        <f aca="false">IF($A1921="","",IF(ISNA(MATCH($H1921,Buffers!$AE:$AE,0)),"Not on Buffers",IF(NOT(ISNUMBER($B1921)),"Needs a date",IF(INT($B1921)&lt;PlanDate,"Past due",IF(INT($B1921)=PlanDate,"Due today",IF(AND(INDEX(Buffers!$L:$L,MATCH($H1921,Buffers!$AE:$AE,0))="Planned",$E1921&gt;0,INT($B1921)&lt;=PlanDate+ROUNDUP(IF(ISNUMBER(SpikeHorizon),SpikeHorizon,INDEX(Buffers!$D:$D,MATCH($H1921,Buffers!$AE:$AE,0))),0),$E1921&gt;=SpikePct*INDEX(Buffers!$P:$P,MATCH($H1921,Buffers!$AE:$AE,0))),"Spike","Not qualified"))))))</f>
        <v/>
      </c>
      <c r="G1921" s="8" t="str">
        <f aca="false">IF($A1921="","",IF(OR($F1921="Past due",$F1921="Due today",$F1921="Spike"),$C1921,0))</f>
        <v/>
      </c>
      <c r="H1921" s="8" t="str">
        <f aca="false">IF($A1921="","",SUBSTITUTE(SUBSTITUTE(SUBSTITUTE($A1921&amp;"","~","~~"),"*","~*"),"?","~?"))</f>
        <v/>
      </c>
    </row>
    <row r="1922" customFormat="false" ht="15" hidden="false" customHeight="false" outlineLevel="0" collapsed="false">
      <c r="A1922" s="11"/>
      <c r="B1922" s="6"/>
      <c r="C1922" s="11"/>
      <c r="D1922" s="11"/>
      <c r="E1922" s="8" t="str">
        <f aca="false">IF($A1922="","",SUMIFS($C:$C,$A:$A,$H1922,$B:$B,"&gt;="&amp;INT($B1922),$B:$B,"&lt;"&amp;(INT($B1922)+1)))</f>
        <v/>
      </c>
      <c r="F1922" s="19" t="str">
        <f aca="false">IF($A1922="","",IF(ISNA(MATCH($H1922,Buffers!$AE:$AE,0)),"Not on Buffers",IF(NOT(ISNUMBER($B1922)),"Needs a date",IF(INT($B1922)&lt;PlanDate,"Past due",IF(INT($B1922)=PlanDate,"Due today",IF(AND(INDEX(Buffers!$L:$L,MATCH($H1922,Buffers!$AE:$AE,0))="Planned",$E1922&gt;0,INT($B1922)&lt;=PlanDate+ROUNDUP(IF(ISNUMBER(SpikeHorizon),SpikeHorizon,INDEX(Buffers!$D:$D,MATCH($H1922,Buffers!$AE:$AE,0))),0),$E1922&gt;=SpikePct*INDEX(Buffers!$P:$P,MATCH($H1922,Buffers!$AE:$AE,0))),"Spike","Not qualified"))))))</f>
        <v/>
      </c>
      <c r="G1922" s="8" t="str">
        <f aca="false">IF($A1922="","",IF(OR($F1922="Past due",$F1922="Due today",$F1922="Spike"),$C1922,0))</f>
        <v/>
      </c>
      <c r="H1922" s="8" t="str">
        <f aca="false">IF($A1922="","",SUBSTITUTE(SUBSTITUTE(SUBSTITUTE($A1922&amp;"","~","~~"),"*","~*"),"?","~?"))</f>
        <v/>
      </c>
    </row>
    <row r="1923" customFormat="false" ht="15" hidden="false" customHeight="false" outlineLevel="0" collapsed="false">
      <c r="A1923" s="11"/>
      <c r="B1923" s="6"/>
      <c r="C1923" s="11"/>
      <c r="D1923" s="11"/>
      <c r="E1923" s="8" t="str">
        <f aca="false">IF($A1923="","",SUMIFS($C:$C,$A:$A,$H1923,$B:$B,"&gt;="&amp;INT($B1923),$B:$B,"&lt;"&amp;(INT($B1923)+1)))</f>
        <v/>
      </c>
      <c r="F1923" s="19" t="str">
        <f aca="false">IF($A1923="","",IF(ISNA(MATCH($H1923,Buffers!$AE:$AE,0)),"Not on Buffers",IF(NOT(ISNUMBER($B1923)),"Needs a date",IF(INT($B1923)&lt;PlanDate,"Past due",IF(INT($B1923)=PlanDate,"Due today",IF(AND(INDEX(Buffers!$L:$L,MATCH($H1923,Buffers!$AE:$AE,0))="Planned",$E1923&gt;0,INT($B1923)&lt;=PlanDate+ROUNDUP(IF(ISNUMBER(SpikeHorizon),SpikeHorizon,INDEX(Buffers!$D:$D,MATCH($H1923,Buffers!$AE:$AE,0))),0),$E1923&gt;=SpikePct*INDEX(Buffers!$P:$P,MATCH($H1923,Buffers!$AE:$AE,0))),"Spike","Not qualified"))))))</f>
        <v/>
      </c>
      <c r="G1923" s="8" t="str">
        <f aca="false">IF($A1923="","",IF(OR($F1923="Past due",$F1923="Due today",$F1923="Spike"),$C1923,0))</f>
        <v/>
      </c>
      <c r="H1923" s="8" t="str">
        <f aca="false">IF($A1923="","",SUBSTITUTE(SUBSTITUTE(SUBSTITUTE($A1923&amp;"","~","~~"),"*","~*"),"?","~?"))</f>
        <v/>
      </c>
    </row>
    <row r="1924" customFormat="false" ht="15" hidden="false" customHeight="false" outlineLevel="0" collapsed="false">
      <c r="A1924" s="11"/>
      <c r="B1924" s="6"/>
      <c r="C1924" s="11"/>
      <c r="D1924" s="11"/>
      <c r="E1924" s="8" t="str">
        <f aca="false">IF($A1924="","",SUMIFS($C:$C,$A:$A,$H1924,$B:$B,"&gt;="&amp;INT($B1924),$B:$B,"&lt;"&amp;(INT($B1924)+1)))</f>
        <v/>
      </c>
      <c r="F1924" s="19" t="str">
        <f aca="false">IF($A1924="","",IF(ISNA(MATCH($H1924,Buffers!$AE:$AE,0)),"Not on Buffers",IF(NOT(ISNUMBER($B1924)),"Needs a date",IF(INT($B1924)&lt;PlanDate,"Past due",IF(INT($B1924)=PlanDate,"Due today",IF(AND(INDEX(Buffers!$L:$L,MATCH($H1924,Buffers!$AE:$AE,0))="Planned",$E1924&gt;0,INT($B1924)&lt;=PlanDate+ROUNDUP(IF(ISNUMBER(SpikeHorizon),SpikeHorizon,INDEX(Buffers!$D:$D,MATCH($H1924,Buffers!$AE:$AE,0))),0),$E1924&gt;=SpikePct*INDEX(Buffers!$P:$P,MATCH($H1924,Buffers!$AE:$AE,0))),"Spike","Not qualified"))))))</f>
        <v/>
      </c>
      <c r="G1924" s="8" t="str">
        <f aca="false">IF($A1924="","",IF(OR($F1924="Past due",$F1924="Due today",$F1924="Spike"),$C1924,0))</f>
        <v/>
      </c>
      <c r="H1924" s="8" t="str">
        <f aca="false">IF($A1924="","",SUBSTITUTE(SUBSTITUTE(SUBSTITUTE($A1924&amp;"","~","~~"),"*","~*"),"?","~?"))</f>
        <v/>
      </c>
    </row>
    <row r="1925" customFormat="false" ht="15" hidden="false" customHeight="false" outlineLevel="0" collapsed="false">
      <c r="A1925" s="11"/>
      <c r="B1925" s="6"/>
      <c r="C1925" s="11"/>
      <c r="D1925" s="11"/>
      <c r="E1925" s="8" t="str">
        <f aca="false">IF($A1925="","",SUMIFS($C:$C,$A:$A,$H1925,$B:$B,"&gt;="&amp;INT($B1925),$B:$B,"&lt;"&amp;(INT($B1925)+1)))</f>
        <v/>
      </c>
      <c r="F1925" s="19" t="str">
        <f aca="false">IF($A1925="","",IF(ISNA(MATCH($H1925,Buffers!$AE:$AE,0)),"Not on Buffers",IF(NOT(ISNUMBER($B1925)),"Needs a date",IF(INT($B1925)&lt;PlanDate,"Past due",IF(INT($B1925)=PlanDate,"Due today",IF(AND(INDEX(Buffers!$L:$L,MATCH($H1925,Buffers!$AE:$AE,0))="Planned",$E1925&gt;0,INT($B1925)&lt;=PlanDate+ROUNDUP(IF(ISNUMBER(SpikeHorizon),SpikeHorizon,INDEX(Buffers!$D:$D,MATCH($H1925,Buffers!$AE:$AE,0))),0),$E1925&gt;=SpikePct*INDEX(Buffers!$P:$P,MATCH($H1925,Buffers!$AE:$AE,0))),"Spike","Not qualified"))))))</f>
        <v/>
      </c>
      <c r="G1925" s="8" t="str">
        <f aca="false">IF($A1925="","",IF(OR($F1925="Past due",$F1925="Due today",$F1925="Spike"),$C1925,0))</f>
        <v/>
      </c>
      <c r="H1925" s="8" t="str">
        <f aca="false">IF($A1925="","",SUBSTITUTE(SUBSTITUTE(SUBSTITUTE($A1925&amp;"","~","~~"),"*","~*"),"?","~?"))</f>
        <v/>
      </c>
    </row>
    <row r="1926" customFormat="false" ht="15" hidden="false" customHeight="false" outlineLevel="0" collapsed="false">
      <c r="A1926" s="11"/>
      <c r="B1926" s="6"/>
      <c r="C1926" s="11"/>
      <c r="D1926" s="11"/>
      <c r="E1926" s="8" t="str">
        <f aca="false">IF($A1926="","",SUMIFS($C:$C,$A:$A,$H1926,$B:$B,"&gt;="&amp;INT($B1926),$B:$B,"&lt;"&amp;(INT($B1926)+1)))</f>
        <v/>
      </c>
      <c r="F1926" s="19" t="str">
        <f aca="false">IF($A1926="","",IF(ISNA(MATCH($H1926,Buffers!$AE:$AE,0)),"Not on Buffers",IF(NOT(ISNUMBER($B1926)),"Needs a date",IF(INT($B1926)&lt;PlanDate,"Past due",IF(INT($B1926)=PlanDate,"Due today",IF(AND(INDEX(Buffers!$L:$L,MATCH($H1926,Buffers!$AE:$AE,0))="Planned",$E1926&gt;0,INT($B1926)&lt;=PlanDate+ROUNDUP(IF(ISNUMBER(SpikeHorizon),SpikeHorizon,INDEX(Buffers!$D:$D,MATCH($H1926,Buffers!$AE:$AE,0))),0),$E1926&gt;=SpikePct*INDEX(Buffers!$P:$P,MATCH($H1926,Buffers!$AE:$AE,0))),"Spike","Not qualified"))))))</f>
        <v/>
      </c>
      <c r="G1926" s="8" t="str">
        <f aca="false">IF($A1926="","",IF(OR($F1926="Past due",$F1926="Due today",$F1926="Spike"),$C1926,0))</f>
        <v/>
      </c>
      <c r="H1926" s="8" t="str">
        <f aca="false">IF($A1926="","",SUBSTITUTE(SUBSTITUTE(SUBSTITUTE($A1926&amp;"","~","~~"),"*","~*"),"?","~?"))</f>
        <v/>
      </c>
    </row>
    <row r="1927" customFormat="false" ht="15" hidden="false" customHeight="false" outlineLevel="0" collapsed="false">
      <c r="A1927" s="11"/>
      <c r="B1927" s="6"/>
      <c r="C1927" s="11"/>
      <c r="D1927" s="11"/>
      <c r="E1927" s="8" t="str">
        <f aca="false">IF($A1927="","",SUMIFS($C:$C,$A:$A,$H1927,$B:$B,"&gt;="&amp;INT($B1927),$B:$B,"&lt;"&amp;(INT($B1927)+1)))</f>
        <v/>
      </c>
      <c r="F1927" s="19" t="str">
        <f aca="false">IF($A1927="","",IF(ISNA(MATCH($H1927,Buffers!$AE:$AE,0)),"Not on Buffers",IF(NOT(ISNUMBER($B1927)),"Needs a date",IF(INT($B1927)&lt;PlanDate,"Past due",IF(INT($B1927)=PlanDate,"Due today",IF(AND(INDEX(Buffers!$L:$L,MATCH($H1927,Buffers!$AE:$AE,0))="Planned",$E1927&gt;0,INT($B1927)&lt;=PlanDate+ROUNDUP(IF(ISNUMBER(SpikeHorizon),SpikeHorizon,INDEX(Buffers!$D:$D,MATCH($H1927,Buffers!$AE:$AE,0))),0),$E1927&gt;=SpikePct*INDEX(Buffers!$P:$P,MATCH($H1927,Buffers!$AE:$AE,0))),"Spike","Not qualified"))))))</f>
        <v/>
      </c>
      <c r="G1927" s="8" t="str">
        <f aca="false">IF($A1927="","",IF(OR($F1927="Past due",$F1927="Due today",$F1927="Spike"),$C1927,0))</f>
        <v/>
      </c>
      <c r="H1927" s="8" t="str">
        <f aca="false">IF($A1927="","",SUBSTITUTE(SUBSTITUTE(SUBSTITUTE($A1927&amp;"","~","~~"),"*","~*"),"?","~?"))</f>
        <v/>
      </c>
    </row>
    <row r="1928" customFormat="false" ht="15" hidden="false" customHeight="false" outlineLevel="0" collapsed="false">
      <c r="A1928" s="11"/>
      <c r="B1928" s="6"/>
      <c r="C1928" s="11"/>
      <c r="D1928" s="11"/>
      <c r="E1928" s="8" t="str">
        <f aca="false">IF($A1928="","",SUMIFS($C:$C,$A:$A,$H1928,$B:$B,"&gt;="&amp;INT($B1928),$B:$B,"&lt;"&amp;(INT($B1928)+1)))</f>
        <v/>
      </c>
      <c r="F1928" s="19" t="str">
        <f aca="false">IF($A1928="","",IF(ISNA(MATCH($H1928,Buffers!$AE:$AE,0)),"Not on Buffers",IF(NOT(ISNUMBER($B1928)),"Needs a date",IF(INT($B1928)&lt;PlanDate,"Past due",IF(INT($B1928)=PlanDate,"Due today",IF(AND(INDEX(Buffers!$L:$L,MATCH($H1928,Buffers!$AE:$AE,0))="Planned",$E1928&gt;0,INT($B1928)&lt;=PlanDate+ROUNDUP(IF(ISNUMBER(SpikeHorizon),SpikeHorizon,INDEX(Buffers!$D:$D,MATCH($H1928,Buffers!$AE:$AE,0))),0),$E1928&gt;=SpikePct*INDEX(Buffers!$P:$P,MATCH($H1928,Buffers!$AE:$AE,0))),"Spike","Not qualified"))))))</f>
        <v/>
      </c>
      <c r="G1928" s="8" t="str">
        <f aca="false">IF($A1928="","",IF(OR($F1928="Past due",$F1928="Due today",$F1928="Spike"),$C1928,0))</f>
        <v/>
      </c>
      <c r="H1928" s="8" t="str">
        <f aca="false">IF($A1928="","",SUBSTITUTE(SUBSTITUTE(SUBSTITUTE($A1928&amp;"","~","~~"),"*","~*"),"?","~?"))</f>
        <v/>
      </c>
    </row>
    <row r="1929" customFormat="false" ht="15" hidden="false" customHeight="false" outlineLevel="0" collapsed="false">
      <c r="A1929" s="11"/>
      <c r="B1929" s="6"/>
      <c r="C1929" s="11"/>
      <c r="D1929" s="11"/>
      <c r="E1929" s="8" t="str">
        <f aca="false">IF($A1929="","",SUMIFS($C:$C,$A:$A,$H1929,$B:$B,"&gt;="&amp;INT($B1929),$B:$B,"&lt;"&amp;(INT($B1929)+1)))</f>
        <v/>
      </c>
      <c r="F1929" s="19" t="str">
        <f aca="false">IF($A1929="","",IF(ISNA(MATCH($H1929,Buffers!$AE:$AE,0)),"Not on Buffers",IF(NOT(ISNUMBER($B1929)),"Needs a date",IF(INT($B1929)&lt;PlanDate,"Past due",IF(INT($B1929)=PlanDate,"Due today",IF(AND(INDEX(Buffers!$L:$L,MATCH($H1929,Buffers!$AE:$AE,0))="Planned",$E1929&gt;0,INT($B1929)&lt;=PlanDate+ROUNDUP(IF(ISNUMBER(SpikeHorizon),SpikeHorizon,INDEX(Buffers!$D:$D,MATCH($H1929,Buffers!$AE:$AE,0))),0),$E1929&gt;=SpikePct*INDEX(Buffers!$P:$P,MATCH($H1929,Buffers!$AE:$AE,0))),"Spike","Not qualified"))))))</f>
        <v/>
      </c>
      <c r="G1929" s="8" t="str">
        <f aca="false">IF($A1929="","",IF(OR($F1929="Past due",$F1929="Due today",$F1929="Spike"),$C1929,0))</f>
        <v/>
      </c>
      <c r="H1929" s="8" t="str">
        <f aca="false">IF($A1929="","",SUBSTITUTE(SUBSTITUTE(SUBSTITUTE($A1929&amp;"","~","~~"),"*","~*"),"?","~?"))</f>
        <v/>
      </c>
    </row>
    <row r="1930" customFormat="false" ht="15" hidden="false" customHeight="false" outlineLevel="0" collapsed="false">
      <c r="A1930" s="11"/>
      <c r="B1930" s="6"/>
      <c r="C1930" s="11"/>
      <c r="D1930" s="11"/>
      <c r="E1930" s="8" t="str">
        <f aca="false">IF($A1930="","",SUMIFS($C:$C,$A:$A,$H1930,$B:$B,"&gt;="&amp;INT($B1930),$B:$B,"&lt;"&amp;(INT($B1930)+1)))</f>
        <v/>
      </c>
      <c r="F1930" s="19" t="str">
        <f aca="false">IF($A1930="","",IF(ISNA(MATCH($H1930,Buffers!$AE:$AE,0)),"Not on Buffers",IF(NOT(ISNUMBER($B1930)),"Needs a date",IF(INT($B1930)&lt;PlanDate,"Past due",IF(INT($B1930)=PlanDate,"Due today",IF(AND(INDEX(Buffers!$L:$L,MATCH($H1930,Buffers!$AE:$AE,0))="Planned",$E1930&gt;0,INT($B1930)&lt;=PlanDate+ROUNDUP(IF(ISNUMBER(SpikeHorizon),SpikeHorizon,INDEX(Buffers!$D:$D,MATCH($H1930,Buffers!$AE:$AE,0))),0),$E1930&gt;=SpikePct*INDEX(Buffers!$P:$P,MATCH($H1930,Buffers!$AE:$AE,0))),"Spike","Not qualified"))))))</f>
        <v/>
      </c>
      <c r="G1930" s="8" t="str">
        <f aca="false">IF($A1930="","",IF(OR($F1930="Past due",$F1930="Due today",$F1930="Spike"),$C1930,0))</f>
        <v/>
      </c>
      <c r="H1930" s="8" t="str">
        <f aca="false">IF($A1930="","",SUBSTITUTE(SUBSTITUTE(SUBSTITUTE($A1930&amp;"","~","~~"),"*","~*"),"?","~?"))</f>
        <v/>
      </c>
    </row>
    <row r="1931" customFormat="false" ht="15" hidden="false" customHeight="false" outlineLevel="0" collapsed="false">
      <c r="A1931" s="11"/>
      <c r="B1931" s="6"/>
      <c r="C1931" s="11"/>
      <c r="D1931" s="11"/>
      <c r="E1931" s="8" t="str">
        <f aca="false">IF($A1931="","",SUMIFS($C:$C,$A:$A,$H1931,$B:$B,"&gt;="&amp;INT($B1931),$B:$B,"&lt;"&amp;(INT($B1931)+1)))</f>
        <v/>
      </c>
      <c r="F1931" s="19" t="str">
        <f aca="false">IF($A1931="","",IF(ISNA(MATCH($H1931,Buffers!$AE:$AE,0)),"Not on Buffers",IF(NOT(ISNUMBER($B1931)),"Needs a date",IF(INT($B1931)&lt;PlanDate,"Past due",IF(INT($B1931)=PlanDate,"Due today",IF(AND(INDEX(Buffers!$L:$L,MATCH($H1931,Buffers!$AE:$AE,0))="Planned",$E1931&gt;0,INT($B1931)&lt;=PlanDate+ROUNDUP(IF(ISNUMBER(SpikeHorizon),SpikeHorizon,INDEX(Buffers!$D:$D,MATCH($H1931,Buffers!$AE:$AE,0))),0),$E1931&gt;=SpikePct*INDEX(Buffers!$P:$P,MATCH($H1931,Buffers!$AE:$AE,0))),"Spike","Not qualified"))))))</f>
        <v/>
      </c>
      <c r="G1931" s="8" t="str">
        <f aca="false">IF($A1931="","",IF(OR($F1931="Past due",$F1931="Due today",$F1931="Spike"),$C1931,0))</f>
        <v/>
      </c>
      <c r="H1931" s="8" t="str">
        <f aca="false">IF($A1931="","",SUBSTITUTE(SUBSTITUTE(SUBSTITUTE($A1931&amp;"","~","~~"),"*","~*"),"?","~?"))</f>
        <v/>
      </c>
    </row>
    <row r="1932" customFormat="false" ht="15" hidden="false" customHeight="false" outlineLevel="0" collapsed="false">
      <c r="A1932" s="11"/>
      <c r="B1932" s="6"/>
      <c r="C1932" s="11"/>
      <c r="D1932" s="11"/>
      <c r="E1932" s="8" t="str">
        <f aca="false">IF($A1932="","",SUMIFS($C:$C,$A:$A,$H1932,$B:$B,"&gt;="&amp;INT($B1932),$B:$B,"&lt;"&amp;(INT($B1932)+1)))</f>
        <v/>
      </c>
      <c r="F1932" s="19" t="str">
        <f aca="false">IF($A1932="","",IF(ISNA(MATCH($H1932,Buffers!$AE:$AE,0)),"Not on Buffers",IF(NOT(ISNUMBER($B1932)),"Needs a date",IF(INT($B1932)&lt;PlanDate,"Past due",IF(INT($B1932)=PlanDate,"Due today",IF(AND(INDEX(Buffers!$L:$L,MATCH($H1932,Buffers!$AE:$AE,0))="Planned",$E1932&gt;0,INT($B1932)&lt;=PlanDate+ROUNDUP(IF(ISNUMBER(SpikeHorizon),SpikeHorizon,INDEX(Buffers!$D:$D,MATCH($H1932,Buffers!$AE:$AE,0))),0),$E1932&gt;=SpikePct*INDEX(Buffers!$P:$P,MATCH($H1932,Buffers!$AE:$AE,0))),"Spike","Not qualified"))))))</f>
        <v/>
      </c>
      <c r="G1932" s="8" t="str">
        <f aca="false">IF($A1932="","",IF(OR($F1932="Past due",$F1932="Due today",$F1932="Spike"),$C1932,0))</f>
        <v/>
      </c>
      <c r="H1932" s="8" t="str">
        <f aca="false">IF($A1932="","",SUBSTITUTE(SUBSTITUTE(SUBSTITUTE($A1932&amp;"","~","~~"),"*","~*"),"?","~?"))</f>
        <v/>
      </c>
    </row>
    <row r="1933" customFormat="false" ht="15" hidden="false" customHeight="false" outlineLevel="0" collapsed="false">
      <c r="A1933" s="11"/>
      <c r="B1933" s="6"/>
      <c r="C1933" s="11"/>
      <c r="D1933" s="11"/>
      <c r="E1933" s="8" t="str">
        <f aca="false">IF($A1933="","",SUMIFS($C:$C,$A:$A,$H1933,$B:$B,"&gt;="&amp;INT($B1933),$B:$B,"&lt;"&amp;(INT($B1933)+1)))</f>
        <v/>
      </c>
      <c r="F1933" s="19" t="str">
        <f aca="false">IF($A1933="","",IF(ISNA(MATCH($H1933,Buffers!$AE:$AE,0)),"Not on Buffers",IF(NOT(ISNUMBER($B1933)),"Needs a date",IF(INT($B1933)&lt;PlanDate,"Past due",IF(INT($B1933)=PlanDate,"Due today",IF(AND(INDEX(Buffers!$L:$L,MATCH($H1933,Buffers!$AE:$AE,0))="Planned",$E1933&gt;0,INT($B1933)&lt;=PlanDate+ROUNDUP(IF(ISNUMBER(SpikeHorizon),SpikeHorizon,INDEX(Buffers!$D:$D,MATCH($H1933,Buffers!$AE:$AE,0))),0),$E1933&gt;=SpikePct*INDEX(Buffers!$P:$P,MATCH($H1933,Buffers!$AE:$AE,0))),"Spike","Not qualified"))))))</f>
        <v/>
      </c>
      <c r="G1933" s="8" t="str">
        <f aca="false">IF($A1933="","",IF(OR($F1933="Past due",$F1933="Due today",$F1933="Spike"),$C1933,0))</f>
        <v/>
      </c>
      <c r="H1933" s="8" t="str">
        <f aca="false">IF($A1933="","",SUBSTITUTE(SUBSTITUTE(SUBSTITUTE($A1933&amp;"","~","~~"),"*","~*"),"?","~?"))</f>
        <v/>
      </c>
    </row>
    <row r="1934" customFormat="false" ht="15" hidden="false" customHeight="false" outlineLevel="0" collapsed="false">
      <c r="A1934" s="11"/>
      <c r="B1934" s="6"/>
      <c r="C1934" s="11"/>
      <c r="D1934" s="11"/>
      <c r="E1934" s="8" t="str">
        <f aca="false">IF($A1934="","",SUMIFS($C:$C,$A:$A,$H1934,$B:$B,"&gt;="&amp;INT($B1934),$B:$B,"&lt;"&amp;(INT($B1934)+1)))</f>
        <v/>
      </c>
      <c r="F1934" s="19" t="str">
        <f aca="false">IF($A1934="","",IF(ISNA(MATCH($H1934,Buffers!$AE:$AE,0)),"Not on Buffers",IF(NOT(ISNUMBER($B1934)),"Needs a date",IF(INT($B1934)&lt;PlanDate,"Past due",IF(INT($B1934)=PlanDate,"Due today",IF(AND(INDEX(Buffers!$L:$L,MATCH($H1934,Buffers!$AE:$AE,0))="Planned",$E1934&gt;0,INT($B1934)&lt;=PlanDate+ROUNDUP(IF(ISNUMBER(SpikeHorizon),SpikeHorizon,INDEX(Buffers!$D:$D,MATCH($H1934,Buffers!$AE:$AE,0))),0),$E1934&gt;=SpikePct*INDEX(Buffers!$P:$P,MATCH($H1934,Buffers!$AE:$AE,0))),"Spike","Not qualified"))))))</f>
        <v/>
      </c>
      <c r="G1934" s="8" t="str">
        <f aca="false">IF($A1934="","",IF(OR($F1934="Past due",$F1934="Due today",$F1934="Spike"),$C1934,0))</f>
        <v/>
      </c>
      <c r="H1934" s="8" t="str">
        <f aca="false">IF($A1934="","",SUBSTITUTE(SUBSTITUTE(SUBSTITUTE($A1934&amp;"","~","~~"),"*","~*"),"?","~?"))</f>
        <v/>
      </c>
    </row>
    <row r="1935" customFormat="false" ht="15" hidden="false" customHeight="false" outlineLevel="0" collapsed="false">
      <c r="A1935" s="11"/>
      <c r="B1935" s="6"/>
      <c r="C1935" s="11"/>
      <c r="D1935" s="11"/>
      <c r="E1935" s="8" t="str">
        <f aca="false">IF($A1935="","",SUMIFS($C:$C,$A:$A,$H1935,$B:$B,"&gt;="&amp;INT($B1935),$B:$B,"&lt;"&amp;(INT($B1935)+1)))</f>
        <v/>
      </c>
      <c r="F1935" s="19" t="str">
        <f aca="false">IF($A1935="","",IF(ISNA(MATCH($H1935,Buffers!$AE:$AE,0)),"Not on Buffers",IF(NOT(ISNUMBER($B1935)),"Needs a date",IF(INT($B1935)&lt;PlanDate,"Past due",IF(INT($B1935)=PlanDate,"Due today",IF(AND(INDEX(Buffers!$L:$L,MATCH($H1935,Buffers!$AE:$AE,0))="Planned",$E1935&gt;0,INT($B1935)&lt;=PlanDate+ROUNDUP(IF(ISNUMBER(SpikeHorizon),SpikeHorizon,INDEX(Buffers!$D:$D,MATCH($H1935,Buffers!$AE:$AE,0))),0),$E1935&gt;=SpikePct*INDEX(Buffers!$P:$P,MATCH($H1935,Buffers!$AE:$AE,0))),"Spike","Not qualified"))))))</f>
        <v/>
      </c>
      <c r="G1935" s="8" t="str">
        <f aca="false">IF($A1935="","",IF(OR($F1935="Past due",$F1935="Due today",$F1935="Spike"),$C1935,0))</f>
        <v/>
      </c>
      <c r="H1935" s="8" t="str">
        <f aca="false">IF($A1935="","",SUBSTITUTE(SUBSTITUTE(SUBSTITUTE($A1935&amp;"","~","~~"),"*","~*"),"?","~?"))</f>
        <v/>
      </c>
    </row>
    <row r="1936" customFormat="false" ht="15" hidden="false" customHeight="false" outlineLevel="0" collapsed="false">
      <c r="A1936" s="11"/>
      <c r="B1936" s="6"/>
      <c r="C1936" s="11"/>
      <c r="D1936" s="11"/>
      <c r="E1936" s="8" t="str">
        <f aca="false">IF($A1936="","",SUMIFS($C:$C,$A:$A,$H1936,$B:$B,"&gt;="&amp;INT($B1936),$B:$B,"&lt;"&amp;(INT($B1936)+1)))</f>
        <v/>
      </c>
      <c r="F1936" s="19" t="str">
        <f aca="false">IF($A1936="","",IF(ISNA(MATCH($H1936,Buffers!$AE:$AE,0)),"Not on Buffers",IF(NOT(ISNUMBER($B1936)),"Needs a date",IF(INT($B1936)&lt;PlanDate,"Past due",IF(INT($B1936)=PlanDate,"Due today",IF(AND(INDEX(Buffers!$L:$L,MATCH($H1936,Buffers!$AE:$AE,0))="Planned",$E1936&gt;0,INT($B1936)&lt;=PlanDate+ROUNDUP(IF(ISNUMBER(SpikeHorizon),SpikeHorizon,INDEX(Buffers!$D:$D,MATCH($H1936,Buffers!$AE:$AE,0))),0),$E1936&gt;=SpikePct*INDEX(Buffers!$P:$P,MATCH($H1936,Buffers!$AE:$AE,0))),"Spike","Not qualified"))))))</f>
        <v/>
      </c>
      <c r="G1936" s="8" t="str">
        <f aca="false">IF($A1936="","",IF(OR($F1936="Past due",$F1936="Due today",$F1936="Spike"),$C1936,0))</f>
        <v/>
      </c>
      <c r="H1936" s="8" t="str">
        <f aca="false">IF($A1936="","",SUBSTITUTE(SUBSTITUTE(SUBSTITUTE($A1936&amp;"","~","~~"),"*","~*"),"?","~?"))</f>
        <v/>
      </c>
    </row>
    <row r="1937" customFormat="false" ht="15" hidden="false" customHeight="false" outlineLevel="0" collapsed="false">
      <c r="A1937" s="11"/>
      <c r="B1937" s="6"/>
      <c r="C1937" s="11"/>
      <c r="D1937" s="11"/>
      <c r="E1937" s="8" t="str">
        <f aca="false">IF($A1937="","",SUMIFS($C:$C,$A:$A,$H1937,$B:$B,"&gt;="&amp;INT($B1937),$B:$B,"&lt;"&amp;(INT($B1937)+1)))</f>
        <v/>
      </c>
      <c r="F1937" s="19" t="str">
        <f aca="false">IF($A1937="","",IF(ISNA(MATCH($H1937,Buffers!$AE:$AE,0)),"Not on Buffers",IF(NOT(ISNUMBER($B1937)),"Needs a date",IF(INT($B1937)&lt;PlanDate,"Past due",IF(INT($B1937)=PlanDate,"Due today",IF(AND(INDEX(Buffers!$L:$L,MATCH($H1937,Buffers!$AE:$AE,0))="Planned",$E1937&gt;0,INT($B1937)&lt;=PlanDate+ROUNDUP(IF(ISNUMBER(SpikeHorizon),SpikeHorizon,INDEX(Buffers!$D:$D,MATCH($H1937,Buffers!$AE:$AE,0))),0),$E1937&gt;=SpikePct*INDEX(Buffers!$P:$P,MATCH($H1937,Buffers!$AE:$AE,0))),"Spike","Not qualified"))))))</f>
        <v/>
      </c>
      <c r="G1937" s="8" t="str">
        <f aca="false">IF($A1937="","",IF(OR($F1937="Past due",$F1937="Due today",$F1937="Spike"),$C1937,0))</f>
        <v/>
      </c>
      <c r="H1937" s="8" t="str">
        <f aca="false">IF($A1937="","",SUBSTITUTE(SUBSTITUTE(SUBSTITUTE($A1937&amp;"","~","~~"),"*","~*"),"?","~?"))</f>
        <v/>
      </c>
    </row>
    <row r="1938" customFormat="false" ht="15" hidden="false" customHeight="false" outlineLevel="0" collapsed="false">
      <c r="A1938" s="11"/>
      <c r="B1938" s="6"/>
      <c r="C1938" s="11"/>
      <c r="D1938" s="11"/>
      <c r="E1938" s="8" t="str">
        <f aca="false">IF($A1938="","",SUMIFS($C:$C,$A:$A,$H1938,$B:$B,"&gt;="&amp;INT($B1938),$B:$B,"&lt;"&amp;(INT($B1938)+1)))</f>
        <v/>
      </c>
      <c r="F1938" s="19" t="str">
        <f aca="false">IF($A1938="","",IF(ISNA(MATCH($H1938,Buffers!$AE:$AE,0)),"Not on Buffers",IF(NOT(ISNUMBER($B1938)),"Needs a date",IF(INT($B1938)&lt;PlanDate,"Past due",IF(INT($B1938)=PlanDate,"Due today",IF(AND(INDEX(Buffers!$L:$L,MATCH($H1938,Buffers!$AE:$AE,0))="Planned",$E1938&gt;0,INT($B1938)&lt;=PlanDate+ROUNDUP(IF(ISNUMBER(SpikeHorizon),SpikeHorizon,INDEX(Buffers!$D:$D,MATCH($H1938,Buffers!$AE:$AE,0))),0),$E1938&gt;=SpikePct*INDEX(Buffers!$P:$P,MATCH($H1938,Buffers!$AE:$AE,0))),"Spike","Not qualified"))))))</f>
        <v/>
      </c>
      <c r="G1938" s="8" t="str">
        <f aca="false">IF($A1938="","",IF(OR($F1938="Past due",$F1938="Due today",$F1938="Spike"),$C1938,0))</f>
        <v/>
      </c>
      <c r="H1938" s="8" t="str">
        <f aca="false">IF($A1938="","",SUBSTITUTE(SUBSTITUTE(SUBSTITUTE($A1938&amp;"","~","~~"),"*","~*"),"?","~?"))</f>
        <v/>
      </c>
    </row>
    <row r="1939" customFormat="false" ht="15" hidden="false" customHeight="false" outlineLevel="0" collapsed="false">
      <c r="A1939" s="11"/>
      <c r="B1939" s="6"/>
      <c r="C1939" s="11"/>
      <c r="D1939" s="11"/>
      <c r="E1939" s="8" t="str">
        <f aca="false">IF($A1939="","",SUMIFS($C:$C,$A:$A,$H1939,$B:$B,"&gt;="&amp;INT($B1939),$B:$B,"&lt;"&amp;(INT($B1939)+1)))</f>
        <v/>
      </c>
      <c r="F1939" s="19" t="str">
        <f aca="false">IF($A1939="","",IF(ISNA(MATCH($H1939,Buffers!$AE:$AE,0)),"Not on Buffers",IF(NOT(ISNUMBER($B1939)),"Needs a date",IF(INT($B1939)&lt;PlanDate,"Past due",IF(INT($B1939)=PlanDate,"Due today",IF(AND(INDEX(Buffers!$L:$L,MATCH($H1939,Buffers!$AE:$AE,0))="Planned",$E1939&gt;0,INT($B1939)&lt;=PlanDate+ROUNDUP(IF(ISNUMBER(SpikeHorizon),SpikeHorizon,INDEX(Buffers!$D:$D,MATCH($H1939,Buffers!$AE:$AE,0))),0),$E1939&gt;=SpikePct*INDEX(Buffers!$P:$P,MATCH($H1939,Buffers!$AE:$AE,0))),"Spike","Not qualified"))))))</f>
        <v/>
      </c>
      <c r="G1939" s="8" t="str">
        <f aca="false">IF($A1939="","",IF(OR($F1939="Past due",$F1939="Due today",$F1939="Spike"),$C1939,0))</f>
        <v/>
      </c>
      <c r="H1939" s="8" t="str">
        <f aca="false">IF($A1939="","",SUBSTITUTE(SUBSTITUTE(SUBSTITUTE($A1939&amp;"","~","~~"),"*","~*"),"?","~?"))</f>
        <v/>
      </c>
    </row>
    <row r="1940" customFormat="false" ht="15" hidden="false" customHeight="false" outlineLevel="0" collapsed="false">
      <c r="A1940" s="11"/>
      <c r="B1940" s="6"/>
      <c r="C1940" s="11"/>
      <c r="D1940" s="11"/>
      <c r="E1940" s="8" t="str">
        <f aca="false">IF($A1940="","",SUMIFS($C:$C,$A:$A,$H1940,$B:$B,"&gt;="&amp;INT($B1940),$B:$B,"&lt;"&amp;(INT($B1940)+1)))</f>
        <v/>
      </c>
      <c r="F1940" s="19" t="str">
        <f aca="false">IF($A1940="","",IF(ISNA(MATCH($H1940,Buffers!$AE:$AE,0)),"Not on Buffers",IF(NOT(ISNUMBER($B1940)),"Needs a date",IF(INT($B1940)&lt;PlanDate,"Past due",IF(INT($B1940)=PlanDate,"Due today",IF(AND(INDEX(Buffers!$L:$L,MATCH($H1940,Buffers!$AE:$AE,0))="Planned",$E1940&gt;0,INT($B1940)&lt;=PlanDate+ROUNDUP(IF(ISNUMBER(SpikeHorizon),SpikeHorizon,INDEX(Buffers!$D:$D,MATCH($H1940,Buffers!$AE:$AE,0))),0),$E1940&gt;=SpikePct*INDEX(Buffers!$P:$P,MATCH($H1940,Buffers!$AE:$AE,0))),"Spike","Not qualified"))))))</f>
        <v/>
      </c>
      <c r="G1940" s="8" t="str">
        <f aca="false">IF($A1940="","",IF(OR($F1940="Past due",$F1940="Due today",$F1940="Spike"),$C1940,0))</f>
        <v/>
      </c>
      <c r="H1940" s="8" t="str">
        <f aca="false">IF($A1940="","",SUBSTITUTE(SUBSTITUTE(SUBSTITUTE($A1940&amp;"","~","~~"),"*","~*"),"?","~?"))</f>
        <v/>
      </c>
    </row>
    <row r="1941" customFormat="false" ht="15" hidden="false" customHeight="false" outlineLevel="0" collapsed="false">
      <c r="A1941" s="11"/>
      <c r="B1941" s="6"/>
      <c r="C1941" s="11"/>
      <c r="D1941" s="11"/>
      <c r="E1941" s="8" t="str">
        <f aca="false">IF($A1941="","",SUMIFS($C:$C,$A:$A,$H1941,$B:$B,"&gt;="&amp;INT($B1941),$B:$B,"&lt;"&amp;(INT($B1941)+1)))</f>
        <v/>
      </c>
      <c r="F1941" s="19" t="str">
        <f aca="false">IF($A1941="","",IF(ISNA(MATCH($H1941,Buffers!$AE:$AE,0)),"Not on Buffers",IF(NOT(ISNUMBER($B1941)),"Needs a date",IF(INT($B1941)&lt;PlanDate,"Past due",IF(INT($B1941)=PlanDate,"Due today",IF(AND(INDEX(Buffers!$L:$L,MATCH($H1941,Buffers!$AE:$AE,0))="Planned",$E1941&gt;0,INT($B1941)&lt;=PlanDate+ROUNDUP(IF(ISNUMBER(SpikeHorizon),SpikeHorizon,INDEX(Buffers!$D:$D,MATCH($H1941,Buffers!$AE:$AE,0))),0),$E1941&gt;=SpikePct*INDEX(Buffers!$P:$P,MATCH($H1941,Buffers!$AE:$AE,0))),"Spike","Not qualified"))))))</f>
        <v/>
      </c>
      <c r="G1941" s="8" t="str">
        <f aca="false">IF($A1941="","",IF(OR($F1941="Past due",$F1941="Due today",$F1941="Spike"),$C1941,0))</f>
        <v/>
      </c>
      <c r="H1941" s="8" t="str">
        <f aca="false">IF($A1941="","",SUBSTITUTE(SUBSTITUTE(SUBSTITUTE($A1941&amp;"","~","~~"),"*","~*"),"?","~?"))</f>
        <v/>
      </c>
    </row>
    <row r="1942" customFormat="false" ht="15" hidden="false" customHeight="false" outlineLevel="0" collapsed="false">
      <c r="A1942" s="11"/>
      <c r="B1942" s="6"/>
      <c r="C1942" s="11"/>
      <c r="D1942" s="11"/>
      <c r="E1942" s="8" t="str">
        <f aca="false">IF($A1942="","",SUMIFS($C:$C,$A:$A,$H1942,$B:$B,"&gt;="&amp;INT($B1942),$B:$B,"&lt;"&amp;(INT($B1942)+1)))</f>
        <v/>
      </c>
      <c r="F1942" s="19" t="str">
        <f aca="false">IF($A1942="","",IF(ISNA(MATCH($H1942,Buffers!$AE:$AE,0)),"Not on Buffers",IF(NOT(ISNUMBER($B1942)),"Needs a date",IF(INT($B1942)&lt;PlanDate,"Past due",IF(INT($B1942)=PlanDate,"Due today",IF(AND(INDEX(Buffers!$L:$L,MATCH($H1942,Buffers!$AE:$AE,0))="Planned",$E1942&gt;0,INT($B1942)&lt;=PlanDate+ROUNDUP(IF(ISNUMBER(SpikeHorizon),SpikeHorizon,INDEX(Buffers!$D:$D,MATCH($H1942,Buffers!$AE:$AE,0))),0),$E1942&gt;=SpikePct*INDEX(Buffers!$P:$P,MATCH($H1942,Buffers!$AE:$AE,0))),"Spike","Not qualified"))))))</f>
        <v/>
      </c>
      <c r="G1942" s="8" t="str">
        <f aca="false">IF($A1942="","",IF(OR($F1942="Past due",$F1942="Due today",$F1942="Spike"),$C1942,0))</f>
        <v/>
      </c>
      <c r="H1942" s="8" t="str">
        <f aca="false">IF($A1942="","",SUBSTITUTE(SUBSTITUTE(SUBSTITUTE($A1942&amp;"","~","~~"),"*","~*"),"?","~?"))</f>
        <v/>
      </c>
    </row>
    <row r="1943" customFormat="false" ht="15" hidden="false" customHeight="false" outlineLevel="0" collapsed="false">
      <c r="A1943" s="11"/>
      <c r="B1943" s="6"/>
      <c r="C1943" s="11"/>
      <c r="D1943" s="11"/>
      <c r="E1943" s="8" t="str">
        <f aca="false">IF($A1943="","",SUMIFS($C:$C,$A:$A,$H1943,$B:$B,"&gt;="&amp;INT($B1943),$B:$B,"&lt;"&amp;(INT($B1943)+1)))</f>
        <v/>
      </c>
      <c r="F1943" s="19" t="str">
        <f aca="false">IF($A1943="","",IF(ISNA(MATCH($H1943,Buffers!$AE:$AE,0)),"Not on Buffers",IF(NOT(ISNUMBER($B1943)),"Needs a date",IF(INT($B1943)&lt;PlanDate,"Past due",IF(INT($B1943)=PlanDate,"Due today",IF(AND(INDEX(Buffers!$L:$L,MATCH($H1943,Buffers!$AE:$AE,0))="Planned",$E1943&gt;0,INT($B1943)&lt;=PlanDate+ROUNDUP(IF(ISNUMBER(SpikeHorizon),SpikeHorizon,INDEX(Buffers!$D:$D,MATCH($H1943,Buffers!$AE:$AE,0))),0),$E1943&gt;=SpikePct*INDEX(Buffers!$P:$P,MATCH($H1943,Buffers!$AE:$AE,0))),"Spike","Not qualified"))))))</f>
        <v/>
      </c>
      <c r="G1943" s="8" t="str">
        <f aca="false">IF($A1943="","",IF(OR($F1943="Past due",$F1943="Due today",$F1943="Spike"),$C1943,0))</f>
        <v/>
      </c>
      <c r="H1943" s="8" t="str">
        <f aca="false">IF($A1943="","",SUBSTITUTE(SUBSTITUTE(SUBSTITUTE($A1943&amp;"","~","~~"),"*","~*"),"?","~?"))</f>
        <v/>
      </c>
    </row>
    <row r="1944" customFormat="false" ht="15" hidden="false" customHeight="false" outlineLevel="0" collapsed="false">
      <c r="A1944" s="11"/>
      <c r="B1944" s="6"/>
      <c r="C1944" s="11"/>
      <c r="D1944" s="11"/>
      <c r="E1944" s="8" t="str">
        <f aca="false">IF($A1944="","",SUMIFS($C:$C,$A:$A,$H1944,$B:$B,"&gt;="&amp;INT($B1944),$B:$B,"&lt;"&amp;(INT($B1944)+1)))</f>
        <v/>
      </c>
      <c r="F1944" s="19" t="str">
        <f aca="false">IF($A1944="","",IF(ISNA(MATCH($H1944,Buffers!$AE:$AE,0)),"Not on Buffers",IF(NOT(ISNUMBER($B1944)),"Needs a date",IF(INT($B1944)&lt;PlanDate,"Past due",IF(INT($B1944)=PlanDate,"Due today",IF(AND(INDEX(Buffers!$L:$L,MATCH($H1944,Buffers!$AE:$AE,0))="Planned",$E1944&gt;0,INT($B1944)&lt;=PlanDate+ROUNDUP(IF(ISNUMBER(SpikeHorizon),SpikeHorizon,INDEX(Buffers!$D:$D,MATCH($H1944,Buffers!$AE:$AE,0))),0),$E1944&gt;=SpikePct*INDEX(Buffers!$P:$P,MATCH($H1944,Buffers!$AE:$AE,0))),"Spike","Not qualified"))))))</f>
        <v/>
      </c>
      <c r="G1944" s="8" t="str">
        <f aca="false">IF($A1944="","",IF(OR($F1944="Past due",$F1944="Due today",$F1944="Spike"),$C1944,0))</f>
        <v/>
      </c>
      <c r="H1944" s="8" t="str">
        <f aca="false">IF($A1944="","",SUBSTITUTE(SUBSTITUTE(SUBSTITUTE($A1944&amp;"","~","~~"),"*","~*"),"?","~?"))</f>
        <v/>
      </c>
    </row>
    <row r="1945" customFormat="false" ht="15" hidden="false" customHeight="false" outlineLevel="0" collapsed="false">
      <c r="A1945" s="11"/>
      <c r="B1945" s="6"/>
      <c r="C1945" s="11"/>
      <c r="D1945" s="11"/>
      <c r="E1945" s="8" t="str">
        <f aca="false">IF($A1945="","",SUMIFS($C:$C,$A:$A,$H1945,$B:$B,"&gt;="&amp;INT($B1945),$B:$B,"&lt;"&amp;(INT($B1945)+1)))</f>
        <v/>
      </c>
      <c r="F1945" s="19" t="str">
        <f aca="false">IF($A1945="","",IF(ISNA(MATCH($H1945,Buffers!$AE:$AE,0)),"Not on Buffers",IF(NOT(ISNUMBER($B1945)),"Needs a date",IF(INT($B1945)&lt;PlanDate,"Past due",IF(INT($B1945)=PlanDate,"Due today",IF(AND(INDEX(Buffers!$L:$L,MATCH($H1945,Buffers!$AE:$AE,0))="Planned",$E1945&gt;0,INT($B1945)&lt;=PlanDate+ROUNDUP(IF(ISNUMBER(SpikeHorizon),SpikeHorizon,INDEX(Buffers!$D:$D,MATCH($H1945,Buffers!$AE:$AE,0))),0),$E1945&gt;=SpikePct*INDEX(Buffers!$P:$P,MATCH($H1945,Buffers!$AE:$AE,0))),"Spike","Not qualified"))))))</f>
        <v/>
      </c>
      <c r="G1945" s="8" t="str">
        <f aca="false">IF($A1945="","",IF(OR($F1945="Past due",$F1945="Due today",$F1945="Spike"),$C1945,0))</f>
        <v/>
      </c>
      <c r="H1945" s="8" t="str">
        <f aca="false">IF($A1945="","",SUBSTITUTE(SUBSTITUTE(SUBSTITUTE($A1945&amp;"","~","~~"),"*","~*"),"?","~?"))</f>
        <v/>
      </c>
    </row>
    <row r="1946" customFormat="false" ht="15" hidden="false" customHeight="false" outlineLevel="0" collapsed="false">
      <c r="A1946" s="11"/>
      <c r="B1946" s="6"/>
      <c r="C1946" s="11"/>
      <c r="D1946" s="11"/>
      <c r="E1946" s="8" t="str">
        <f aca="false">IF($A1946="","",SUMIFS($C:$C,$A:$A,$H1946,$B:$B,"&gt;="&amp;INT($B1946),$B:$B,"&lt;"&amp;(INT($B1946)+1)))</f>
        <v/>
      </c>
      <c r="F1946" s="19" t="str">
        <f aca="false">IF($A1946="","",IF(ISNA(MATCH($H1946,Buffers!$AE:$AE,0)),"Not on Buffers",IF(NOT(ISNUMBER($B1946)),"Needs a date",IF(INT($B1946)&lt;PlanDate,"Past due",IF(INT($B1946)=PlanDate,"Due today",IF(AND(INDEX(Buffers!$L:$L,MATCH($H1946,Buffers!$AE:$AE,0))="Planned",$E1946&gt;0,INT($B1946)&lt;=PlanDate+ROUNDUP(IF(ISNUMBER(SpikeHorizon),SpikeHorizon,INDEX(Buffers!$D:$D,MATCH($H1946,Buffers!$AE:$AE,0))),0),$E1946&gt;=SpikePct*INDEX(Buffers!$P:$P,MATCH($H1946,Buffers!$AE:$AE,0))),"Spike","Not qualified"))))))</f>
        <v/>
      </c>
      <c r="G1946" s="8" t="str">
        <f aca="false">IF($A1946="","",IF(OR($F1946="Past due",$F1946="Due today",$F1946="Spike"),$C1946,0))</f>
        <v/>
      </c>
      <c r="H1946" s="8" t="str">
        <f aca="false">IF($A1946="","",SUBSTITUTE(SUBSTITUTE(SUBSTITUTE($A1946&amp;"","~","~~"),"*","~*"),"?","~?"))</f>
        <v/>
      </c>
    </row>
    <row r="1947" customFormat="false" ht="15" hidden="false" customHeight="false" outlineLevel="0" collapsed="false">
      <c r="A1947" s="11"/>
      <c r="B1947" s="6"/>
      <c r="C1947" s="11"/>
      <c r="D1947" s="11"/>
      <c r="E1947" s="8" t="str">
        <f aca="false">IF($A1947="","",SUMIFS($C:$C,$A:$A,$H1947,$B:$B,"&gt;="&amp;INT($B1947),$B:$B,"&lt;"&amp;(INT($B1947)+1)))</f>
        <v/>
      </c>
      <c r="F1947" s="19" t="str">
        <f aca="false">IF($A1947="","",IF(ISNA(MATCH($H1947,Buffers!$AE:$AE,0)),"Not on Buffers",IF(NOT(ISNUMBER($B1947)),"Needs a date",IF(INT($B1947)&lt;PlanDate,"Past due",IF(INT($B1947)=PlanDate,"Due today",IF(AND(INDEX(Buffers!$L:$L,MATCH($H1947,Buffers!$AE:$AE,0))="Planned",$E1947&gt;0,INT($B1947)&lt;=PlanDate+ROUNDUP(IF(ISNUMBER(SpikeHorizon),SpikeHorizon,INDEX(Buffers!$D:$D,MATCH($H1947,Buffers!$AE:$AE,0))),0),$E1947&gt;=SpikePct*INDEX(Buffers!$P:$P,MATCH($H1947,Buffers!$AE:$AE,0))),"Spike","Not qualified"))))))</f>
        <v/>
      </c>
      <c r="G1947" s="8" t="str">
        <f aca="false">IF($A1947="","",IF(OR($F1947="Past due",$F1947="Due today",$F1947="Spike"),$C1947,0))</f>
        <v/>
      </c>
      <c r="H1947" s="8" t="str">
        <f aca="false">IF($A1947="","",SUBSTITUTE(SUBSTITUTE(SUBSTITUTE($A1947&amp;"","~","~~"),"*","~*"),"?","~?"))</f>
        <v/>
      </c>
    </row>
    <row r="1948" customFormat="false" ht="15" hidden="false" customHeight="false" outlineLevel="0" collapsed="false">
      <c r="A1948" s="11"/>
      <c r="B1948" s="6"/>
      <c r="C1948" s="11"/>
      <c r="D1948" s="11"/>
      <c r="E1948" s="8" t="str">
        <f aca="false">IF($A1948="","",SUMIFS($C:$C,$A:$A,$H1948,$B:$B,"&gt;="&amp;INT($B1948),$B:$B,"&lt;"&amp;(INT($B1948)+1)))</f>
        <v/>
      </c>
      <c r="F1948" s="19" t="str">
        <f aca="false">IF($A1948="","",IF(ISNA(MATCH($H1948,Buffers!$AE:$AE,0)),"Not on Buffers",IF(NOT(ISNUMBER($B1948)),"Needs a date",IF(INT($B1948)&lt;PlanDate,"Past due",IF(INT($B1948)=PlanDate,"Due today",IF(AND(INDEX(Buffers!$L:$L,MATCH($H1948,Buffers!$AE:$AE,0))="Planned",$E1948&gt;0,INT($B1948)&lt;=PlanDate+ROUNDUP(IF(ISNUMBER(SpikeHorizon),SpikeHorizon,INDEX(Buffers!$D:$D,MATCH($H1948,Buffers!$AE:$AE,0))),0),$E1948&gt;=SpikePct*INDEX(Buffers!$P:$P,MATCH($H1948,Buffers!$AE:$AE,0))),"Spike","Not qualified"))))))</f>
        <v/>
      </c>
      <c r="G1948" s="8" t="str">
        <f aca="false">IF($A1948="","",IF(OR($F1948="Past due",$F1948="Due today",$F1948="Spike"),$C1948,0))</f>
        <v/>
      </c>
      <c r="H1948" s="8" t="str">
        <f aca="false">IF($A1948="","",SUBSTITUTE(SUBSTITUTE(SUBSTITUTE($A1948&amp;"","~","~~"),"*","~*"),"?","~?"))</f>
        <v/>
      </c>
    </row>
    <row r="1949" customFormat="false" ht="15" hidden="false" customHeight="false" outlineLevel="0" collapsed="false">
      <c r="A1949" s="11"/>
      <c r="B1949" s="6"/>
      <c r="C1949" s="11"/>
      <c r="D1949" s="11"/>
      <c r="E1949" s="8" t="str">
        <f aca="false">IF($A1949="","",SUMIFS($C:$C,$A:$A,$H1949,$B:$B,"&gt;="&amp;INT($B1949),$B:$B,"&lt;"&amp;(INT($B1949)+1)))</f>
        <v/>
      </c>
      <c r="F1949" s="19" t="str">
        <f aca="false">IF($A1949="","",IF(ISNA(MATCH($H1949,Buffers!$AE:$AE,0)),"Not on Buffers",IF(NOT(ISNUMBER($B1949)),"Needs a date",IF(INT($B1949)&lt;PlanDate,"Past due",IF(INT($B1949)=PlanDate,"Due today",IF(AND(INDEX(Buffers!$L:$L,MATCH($H1949,Buffers!$AE:$AE,0))="Planned",$E1949&gt;0,INT($B1949)&lt;=PlanDate+ROUNDUP(IF(ISNUMBER(SpikeHorizon),SpikeHorizon,INDEX(Buffers!$D:$D,MATCH($H1949,Buffers!$AE:$AE,0))),0),$E1949&gt;=SpikePct*INDEX(Buffers!$P:$P,MATCH($H1949,Buffers!$AE:$AE,0))),"Spike","Not qualified"))))))</f>
        <v/>
      </c>
      <c r="G1949" s="8" t="str">
        <f aca="false">IF($A1949="","",IF(OR($F1949="Past due",$F1949="Due today",$F1949="Spike"),$C1949,0))</f>
        <v/>
      </c>
      <c r="H1949" s="8" t="str">
        <f aca="false">IF($A1949="","",SUBSTITUTE(SUBSTITUTE(SUBSTITUTE($A1949&amp;"","~","~~"),"*","~*"),"?","~?"))</f>
        <v/>
      </c>
    </row>
    <row r="1950" customFormat="false" ht="15" hidden="false" customHeight="false" outlineLevel="0" collapsed="false">
      <c r="A1950" s="11"/>
      <c r="B1950" s="6"/>
      <c r="C1950" s="11"/>
      <c r="D1950" s="11"/>
      <c r="E1950" s="8" t="str">
        <f aca="false">IF($A1950="","",SUMIFS($C:$C,$A:$A,$H1950,$B:$B,"&gt;="&amp;INT($B1950),$B:$B,"&lt;"&amp;(INT($B1950)+1)))</f>
        <v/>
      </c>
      <c r="F1950" s="19" t="str">
        <f aca="false">IF($A1950="","",IF(ISNA(MATCH($H1950,Buffers!$AE:$AE,0)),"Not on Buffers",IF(NOT(ISNUMBER($B1950)),"Needs a date",IF(INT($B1950)&lt;PlanDate,"Past due",IF(INT($B1950)=PlanDate,"Due today",IF(AND(INDEX(Buffers!$L:$L,MATCH($H1950,Buffers!$AE:$AE,0))="Planned",$E1950&gt;0,INT($B1950)&lt;=PlanDate+ROUNDUP(IF(ISNUMBER(SpikeHorizon),SpikeHorizon,INDEX(Buffers!$D:$D,MATCH($H1950,Buffers!$AE:$AE,0))),0),$E1950&gt;=SpikePct*INDEX(Buffers!$P:$P,MATCH($H1950,Buffers!$AE:$AE,0))),"Spike","Not qualified"))))))</f>
        <v/>
      </c>
      <c r="G1950" s="8" t="str">
        <f aca="false">IF($A1950="","",IF(OR($F1950="Past due",$F1950="Due today",$F1950="Spike"),$C1950,0))</f>
        <v/>
      </c>
      <c r="H1950" s="8" t="str">
        <f aca="false">IF($A1950="","",SUBSTITUTE(SUBSTITUTE(SUBSTITUTE($A1950&amp;"","~","~~"),"*","~*"),"?","~?"))</f>
        <v/>
      </c>
    </row>
    <row r="1951" customFormat="false" ht="15" hidden="false" customHeight="false" outlineLevel="0" collapsed="false">
      <c r="A1951" s="11"/>
      <c r="B1951" s="6"/>
      <c r="C1951" s="11"/>
      <c r="D1951" s="11"/>
      <c r="E1951" s="8" t="str">
        <f aca="false">IF($A1951="","",SUMIFS($C:$C,$A:$A,$H1951,$B:$B,"&gt;="&amp;INT($B1951),$B:$B,"&lt;"&amp;(INT($B1951)+1)))</f>
        <v/>
      </c>
      <c r="F1951" s="19" t="str">
        <f aca="false">IF($A1951="","",IF(ISNA(MATCH($H1951,Buffers!$AE:$AE,0)),"Not on Buffers",IF(NOT(ISNUMBER($B1951)),"Needs a date",IF(INT($B1951)&lt;PlanDate,"Past due",IF(INT($B1951)=PlanDate,"Due today",IF(AND(INDEX(Buffers!$L:$L,MATCH($H1951,Buffers!$AE:$AE,0))="Planned",$E1951&gt;0,INT($B1951)&lt;=PlanDate+ROUNDUP(IF(ISNUMBER(SpikeHorizon),SpikeHorizon,INDEX(Buffers!$D:$D,MATCH($H1951,Buffers!$AE:$AE,0))),0),$E1951&gt;=SpikePct*INDEX(Buffers!$P:$P,MATCH($H1951,Buffers!$AE:$AE,0))),"Spike","Not qualified"))))))</f>
        <v/>
      </c>
      <c r="G1951" s="8" t="str">
        <f aca="false">IF($A1951="","",IF(OR($F1951="Past due",$F1951="Due today",$F1951="Spike"),$C1951,0))</f>
        <v/>
      </c>
      <c r="H1951" s="8" t="str">
        <f aca="false">IF($A1951="","",SUBSTITUTE(SUBSTITUTE(SUBSTITUTE($A1951&amp;"","~","~~"),"*","~*"),"?","~?"))</f>
        <v/>
      </c>
    </row>
    <row r="1952" customFormat="false" ht="15" hidden="false" customHeight="false" outlineLevel="0" collapsed="false">
      <c r="A1952" s="11"/>
      <c r="B1952" s="6"/>
      <c r="C1952" s="11"/>
      <c r="D1952" s="11"/>
      <c r="E1952" s="8" t="str">
        <f aca="false">IF($A1952="","",SUMIFS($C:$C,$A:$A,$H1952,$B:$B,"&gt;="&amp;INT($B1952),$B:$B,"&lt;"&amp;(INT($B1952)+1)))</f>
        <v/>
      </c>
      <c r="F1952" s="19" t="str">
        <f aca="false">IF($A1952="","",IF(ISNA(MATCH($H1952,Buffers!$AE:$AE,0)),"Not on Buffers",IF(NOT(ISNUMBER($B1952)),"Needs a date",IF(INT($B1952)&lt;PlanDate,"Past due",IF(INT($B1952)=PlanDate,"Due today",IF(AND(INDEX(Buffers!$L:$L,MATCH($H1952,Buffers!$AE:$AE,0))="Planned",$E1952&gt;0,INT($B1952)&lt;=PlanDate+ROUNDUP(IF(ISNUMBER(SpikeHorizon),SpikeHorizon,INDEX(Buffers!$D:$D,MATCH($H1952,Buffers!$AE:$AE,0))),0),$E1952&gt;=SpikePct*INDEX(Buffers!$P:$P,MATCH($H1952,Buffers!$AE:$AE,0))),"Spike","Not qualified"))))))</f>
        <v/>
      </c>
      <c r="G1952" s="8" t="str">
        <f aca="false">IF($A1952="","",IF(OR($F1952="Past due",$F1952="Due today",$F1952="Spike"),$C1952,0))</f>
        <v/>
      </c>
      <c r="H1952" s="8" t="str">
        <f aca="false">IF($A1952="","",SUBSTITUTE(SUBSTITUTE(SUBSTITUTE($A1952&amp;"","~","~~"),"*","~*"),"?","~?"))</f>
        <v/>
      </c>
    </row>
    <row r="1953" customFormat="false" ht="15" hidden="false" customHeight="false" outlineLevel="0" collapsed="false">
      <c r="A1953" s="11"/>
      <c r="B1953" s="6"/>
      <c r="C1953" s="11"/>
      <c r="D1953" s="11"/>
      <c r="E1953" s="8" t="str">
        <f aca="false">IF($A1953="","",SUMIFS($C:$C,$A:$A,$H1953,$B:$B,"&gt;="&amp;INT($B1953),$B:$B,"&lt;"&amp;(INT($B1953)+1)))</f>
        <v/>
      </c>
      <c r="F1953" s="19" t="str">
        <f aca="false">IF($A1953="","",IF(ISNA(MATCH($H1953,Buffers!$AE:$AE,0)),"Not on Buffers",IF(NOT(ISNUMBER($B1953)),"Needs a date",IF(INT($B1953)&lt;PlanDate,"Past due",IF(INT($B1953)=PlanDate,"Due today",IF(AND(INDEX(Buffers!$L:$L,MATCH($H1953,Buffers!$AE:$AE,0))="Planned",$E1953&gt;0,INT($B1953)&lt;=PlanDate+ROUNDUP(IF(ISNUMBER(SpikeHorizon),SpikeHorizon,INDEX(Buffers!$D:$D,MATCH($H1953,Buffers!$AE:$AE,0))),0),$E1953&gt;=SpikePct*INDEX(Buffers!$P:$P,MATCH($H1953,Buffers!$AE:$AE,0))),"Spike","Not qualified"))))))</f>
        <v/>
      </c>
      <c r="G1953" s="8" t="str">
        <f aca="false">IF($A1953="","",IF(OR($F1953="Past due",$F1953="Due today",$F1953="Spike"),$C1953,0))</f>
        <v/>
      </c>
      <c r="H1953" s="8" t="str">
        <f aca="false">IF($A1953="","",SUBSTITUTE(SUBSTITUTE(SUBSTITUTE($A1953&amp;"","~","~~"),"*","~*"),"?","~?"))</f>
        <v/>
      </c>
    </row>
    <row r="1954" customFormat="false" ht="15" hidden="false" customHeight="false" outlineLevel="0" collapsed="false">
      <c r="A1954" s="11"/>
      <c r="B1954" s="6"/>
      <c r="C1954" s="11"/>
      <c r="D1954" s="11"/>
      <c r="E1954" s="8" t="str">
        <f aca="false">IF($A1954="","",SUMIFS($C:$C,$A:$A,$H1954,$B:$B,"&gt;="&amp;INT($B1954),$B:$B,"&lt;"&amp;(INT($B1954)+1)))</f>
        <v/>
      </c>
      <c r="F1954" s="19" t="str">
        <f aca="false">IF($A1954="","",IF(ISNA(MATCH($H1954,Buffers!$AE:$AE,0)),"Not on Buffers",IF(NOT(ISNUMBER($B1954)),"Needs a date",IF(INT($B1954)&lt;PlanDate,"Past due",IF(INT($B1954)=PlanDate,"Due today",IF(AND(INDEX(Buffers!$L:$L,MATCH($H1954,Buffers!$AE:$AE,0))="Planned",$E1954&gt;0,INT($B1954)&lt;=PlanDate+ROUNDUP(IF(ISNUMBER(SpikeHorizon),SpikeHorizon,INDEX(Buffers!$D:$D,MATCH($H1954,Buffers!$AE:$AE,0))),0),$E1954&gt;=SpikePct*INDEX(Buffers!$P:$P,MATCH($H1954,Buffers!$AE:$AE,0))),"Spike","Not qualified"))))))</f>
        <v/>
      </c>
      <c r="G1954" s="8" t="str">
        <f aca="false">IF($A1954="","",IF(OR($F1954="Past due",$F1954="Due today",$F1954="Spike"),$C1954,0))</f>
        <v/>
      </c>
      <c r="H1954" s="8" t="str">
        <f aca="false">IF($A1954="","",SUBSTITUTE(SUBSTITUTE(SUBSTITUTE($A1954&amp;"","~","~~"),"*","~*"),"?","~?"))</f>
        <v/>
      </c>
    </row>
    <row r="1955" customFormat="false" ht="15" hidden="false" customHeight="false" outlineLevel="0" collapsed="false">
      <c r="A1955" s="11"/>
      <c r="B1955" s="6"/>
      <c r="C1955" s="11"/>
      <c r="D1955" s="11"/>
      <c r="E1955" s="8" t="str">
        <f aca="false">IF($A1955="","",SUMIFS($C:$C,$A:$A,$H1955,$B:$B,"&gt;="&amp;INT($B1955),$B:$B,"&lt;"&amp;(INT($B1955)+1)))</f>
        <v/>
      </c>
      <c r="F1955" s="19" t="str">
        <f aca="false">IF($A1955="","",IF(ISNA(MATCH($H1955,Buffers!$AE:$AE,0)),"Not on Buffers",IF(NOT(ISNUMBER($B1955)),"Needs a date",IF(INT($B1955)&lt;PlanDate,"Past due",IF(INT($B1955)=PlanDate,"Due today",IF(AND(INDEX(Buffers!$L:$L,MATCH($H1955,Buffers!$AE:$AE,0))="Planned",$E1955&gt;0,INT($B1955)&lt;=PlanDate+ROUNDUP(IF(ISNUMBER(SpikeHorizon),SpikeHorizon,INDEX(Buffers!$D:$D,MATCH($H1955,Buffers!$AE:$AE,0))),0),$E1955&gt;=SpikePct*INDEX(Buffers!$P:$P,MATCH($H1955,Buffers!$AE:$AE,0))),"Spike","Not qualified"))))))</f>
        <v/>
      </c>
      <c r="G1955" s="8" t="str">
        <f aca="false">IF($A1955="","",IF(OR($F1955="Past due",$F1955="Due today",$F1955="Spike"),$C1955,0))</f>
        <v/>
      </c>
      <c r="H1955" s="8" t="str">
        <f aca="false">IF($A1955="","",SUBSTITUTE(SUBSTITUTE(SUBSTITUTE($A1955&amp;"","~","~~"),"*","~*"),"?","~?"))</f>
        <v/>
      </c>
    </row>
    <row r="1956" customFormat="false" ht="15" hidden="false" customHeight="false" outlineLevel="0" collapsed="false">
      <c r="A1956" s="11"/>
      <c r="B1956" s="6"/>
      <c r="C1956" s="11"/>
      <c r="D1956" s="11"/>
      <c r="E1956" s="8" t="str">
        <f aca="false">IF($A1956="","",SUMIFS($C:$C,$A:$A,$H1956,$B:$B,"&gt;="&amp;INT($B1956),$B:$B,"&lt;"&amp;(INT($B1956)+1)))</f>
        <v/>
      </c>
      <c r="F1956" s="19" t="str">
        <f aca="false">IF($A1956="","",IF(ISNA(MATCH($H1956,Buffers!$AE:$AE,0)),"Not on Buffers",IF(NOT(ISNUMBER($B1956)),"Needs a date",IF(INT($B1956)&lt;PlanDate,"Past due",IF(INT($B1956)=PlanDate,"Due today",IF(AND(INDEX(Buffers!$L:$L,MATCH($H1956,Buffers!$AE:$AE,0))="Planned",$E1956&gt;0,INT($B1956)&lt;=PlanDate+ROUNDUP(IF(ISNUMBER(SpikeHorizon),SpikeHorizon,INDEX(Buffers!$D:$D,MATCH($H1956,Buffers!$AE:$AE,0))),0),$E1956&gt;=SpikePct*INDEX(Buffers!$P:$P,MATCH($H1956,Buffers!$AE:$AE,0))),"Spike","Not qualified"))))))</f>
        <v/>
      </c>
      <c r="G1956" s="8" t="str">
        <f aca="false">IF($A1956="","",IF(OR($F1956="Past due",$F1956="Due today",$F1956="Spike"),$C1956,0))</f>
        <v/>
      </c>
      <c r="H1956" s="8" t="str">
        <f aca="false">IF($A1956="","",SUBSTITUTE(SUBSTITUTE(SUBSTITUTE($A1956&amp;"","~","~~"),"*","~*"),"?","~?"))</f>
        <v/>
      </c>
    </row>
    <row r="1957" customFormat="false" ht="15" hidden="false" customHeight="false" outlineLevel="0" collapsed="false">
      <c r="A1957" s="11"/>
      <c r="B1957" s="6"/>
      <c r="C1957" s="11"/>
      <c r="D1957" s="11"/>
      <c r="E1957" s="8" t="str">
        <f aca="false">IF($A1957="","",SUMIFS($C:$C,$A:$A,$H1957,$B:$B,"&gt;="&amp;INT($B1957),$B:$B,"&lt;"&amp;(INT($B1957)+1)))</f>
        <v/>
      </c>
      <c r="F1957" s="19" t="str">
        <f aca="false">IF($A1957="","",IF(ISNA(MATCH($H1957,Buffers!$AE:$AE,0)),"Not on Buffers",IF(NOT(ISNUMBER($B1957)),"Needs a date",IF(INT($B1957)&lt;PlanDate,"Past due",IF(INT($B1957)=PlanDate,"Due today",IF(AND(INDEX(Buffers!$L:$L,MATCH($H1957,Buffers!$AE:$AE,0))="Planned",$E1957&gt;0,INT($B1957)&lt;=PlanDate+ROUNDUP(IF(ISNUMBER(SpikeHorizon),SpikeHorizon,INDEX(Buffers!$D:$D,MATCH($H1957,Buffers!$AE:$AE,0))),0),$E1957&gt;=SpikePct*INDEX(Buffers!$P:$P,MATCH($H1957,Buffers!$AE:$AE,0))),"Spike","Not qualified"))))))</f>
        <v/>
      </c>
      <c r="G1957" s="8" t="str">
        <f aca="false">IF($A1957="","",IF(OR($F1957="Past due",$F1957="Due today",$F1957="Spike"),$C1957,0))</f>
        <v/>
      </c>
      <c r="H1957" s="8" t="str">
        <f aca="false">IF($A1957="","",SUBSTITUTE(SUBSTITUTE(SUBSTITUTE($A1957&amp;"","~","~~"),"*","~*"),"?","~?"))</f>
        <v/>
      </c>
    </row>
    <row r="1958" customFormat="false" ht="15" hidden="false" customHeight="false" outlineLevel="0" collapsed="false">
      <c r="A1958" s="11"/>
      <c r="B1958" s="6"/>
      <c r="C1958" s="11"/>
      <c r="D1958" s="11"/>
      <c r="E1958" s="8" t="str">
        <f aca="false">IF($A1958="","",SUMIFS($C:$C,$A:$A,$H1958,$B:$B,"&gt;="&amp;INT($B1958),$B:$B,"&lt;"&amp;(INT($B1958)+1)))</f>
        <v/>
      </c>
      <c r="F1958" s="19" t="str">
        <f aca="false">IF($A1958="","",IF(ISNA(MATCH($H1958,Buffers!$AE:$AE,0)),"Not on Buffers",IF(NOT(ISNUMBER($B1958)),"Needs a date",IF(INT($B1958)&lt;PlanDate,"Past due",IF(INT($B1958)=PlanDate,"Due today",IF(AND(INDEX(Buffers!$L:$L,MATCH($H1958,Buffers!$AE:$AE,0))="Planned",$E1958&gt;0,INT($B1958)&lt;=PlanDate+ROUNDUP(IF(ISNUMBER(SpikeHorizon),SpikeHorizon,INDEX(Buffers!$D:$D,MATCH($H1958,Buffers!$AE:$AE,0))),0),$E1958&gt;=SpikePct*INDEX(Buffers!$P:$P,MATCH($H1958,Buffers!$AE:$AE,0))),"Spike","Not qualified"))))))</f>
        <v/>
      </c>
      <c r="G1958" s="8" t="str">
        <f aca="false">IF($A1958="","",IF(OR($F1958="Past due",$F1958="Due today",$F1958="Spike"),$C1958,0))</f>
        <v/>
      </c>
      <c r="H1958" s="8" t="str">
        <f aca="false">IF($A1958="","",SUBSTITUTE(SUBSTITUTE(SUBSTITUTE($A1958&amp;"","~","~~"),"*","~*"),"?","~?"))</f>
        <v/>
      </c>
    </row>
    <row r="1959" customFormat="false" ht="15" hidden="false" customHeight="false" outlineLevel="0" collapsed="false">
      <c r="A1959" s="11"/>
      <c r="B1959" s="6"/>
      <c r="C1959" s="11"/>
      <c r="D1959" s="11"/>
      <c r="E1959" s="8" t="str">
        <f aca="false">IF($A1959="","",SUMIFS($C:$C,$A:$A,$H1959,$B:$B,"&gt;="&amp;INT($B1959),$B:$B,"&lt;"&amp;(INT($B1959)+1)))</f>
        <v/>
      </c>
      <c r="F1959" s="19" t="str">
        <f aca="false">IF($A1959="","",IF(ISNA(MATCH($H1959,Buffers!$AE:$AE,0)),"Not on Buffers",IF(NOT(ISNUMBER($B1959)),"Needs a date",IF(INT($B1959)&lt;PlanDate,"Past due",IF(INT($B1959)=PlanDate,"Due today",IF(AND(INDEX(Buffers!$L:$L,MATCH($H1959,Buffers!$AE:$AE,0))="Planned",$E1959&gt;0,INT($B1959)&lt;=PlanDate+ROUNDUP(IF(ISNUMBER(SpikeHorizon),SpikeHorizon,INDEX(Buffers!$D:$D,MATCH($H1959,Buffers!$AE:$AE,0))),0),$E1959&gt;=SpikePct*INDEX(Buffers!$P:$P,MATCH($H1959,Buffers!$AE:$AE,0))),"Spike","Not qualified"))))))</f>
        <v/>
      </c>
      <c r="G1959" s="8" t="str">
        <f aca="false">IF($A1959="","",IF(OR($F1959="Past due",$F1959="Due today",$F1959="Spike"),$C1959,0))</f>
        <v/>
      </c>
      <c r="H1959" s="8" t="str">
        <f aca="false">IF($A1959="","",SUBSTITUTE(SUBSTITUTE(SUBSTITUTE($A1959&amp;"","~","~~"),"*","~*"),"?","~?"))</f>
        <v/>
      </c>
    </row>
    <row r="1960" customFormat="false" ht="15" hidden="false" customHeight="false" outlineLevel="0" collapsed="false">
      <c r="A1960" s="11"/>
      <c r="B1960" s="6"/>
      <c r="C1960" s="11"/>
      <c r="D1960" s="11"/>
      <c r="E1960" s="8" t="str">
        <f aca="false">IF($A1960="","",SUMIFS($C:$C,$A:$A,$H1960,$B:$B,"&gt;="&amp;INT($B1960),$B:$B,"&lt;"&amp;(INT($B1960)+1)))</f>
        <v/>
      </c>
      <c r="F1960" s="19" t="str">
        <f aca="false">IF($A1960="","",IF(ISNA(MATCH($H1960,Buffers!$AE:$AE,0)),"Not on Buffers",IF(NOT(ISNUMBER($B1960)),"Needs a date",IF(INT($B1960)&lt;PlanDate,"Past due",IF(INT($B1960)=PlanDate,"Due today",IF(AND(INDEX(Buffers!$L:$L,MATCH($H1960,Buffers!$AE:$AE,0))="Planned",$E1960&gt;0,INT($B1960)&lt;=PlanDate+ROUNDUP(IF(ISNUMBER(SpikeHorizon),SpikeHorizon,INDEX(Buffers!$D:$D,MATCH($H1960,Buffers!$AE:$AE,0))),0),$E1960&gt;=SpikePct*INDEX(Buffers!$P:$P,MATCH($H1960,Buffers!$AE:$AE,0))),"Spike","Not qualified"))))))</f>
        <v/>
      </c>
      <c r="G1960" s="8" t="str">
        <f aca="false">IF($A1960="","",IF(OR($F1960="Past due",$F1960="Due today",$F1960="Spike"),$C1960,0))</f>
        <v/>
      </c>
      <c r="H1960" s="8" t="str">
        <f aca="false">IF($A1960="","",SUBSTITUTE(SUBSTITUTE(SUBSTITUTE($A1960&amp;"","~","~~"),"*","~*"),"?","~?"))</f>
        <v/>
      </c>
    </row>
    <row r="1961" customFormat="false" ht="15" hidden="false" customHeight="false" outlineLevel="0" collapsed="false">
      <c r="A1961" s="11"/>
      <c r="B1961" s="6"/>
      <c r="C1961" s="11"/>
      <c r="D1961" s="11"/>
      <c r="E1961" s="8" t="str">
        <f aca="false">IF($A1961="","",SUMIFS($C:$C,$A:$A,$H1961,$B:$B,"&gt;="&amp;INT($B1961),$B:$B,"&lt;"&amp;(INT($B1961)+1)))</f>
        <v/>
      </c>
      <c r="F1961" s="19" t="str">
        <f aca="false">IF($A1961="","",IF(ISNA(MATCH($H1961,Buffers!$AE:$AE,0)),"Not on Buffers",IF(NOT(ISNUMBER($B1961)),"Needs a date",IF(INT($B1961)&lt;PlanDate,"Past due",IF(INT($B1961)=PlanDate,"Due today",IF(AND(INDEX(Buffers!$L:$L,MATCH($H1961,Buffers!$AE:$AE,0))="Planned",$E1961&gt;0,INT($B1961)&lt;=PlanDate+ROUNDUP(IF(ISNUMBER(SpikeHorizon),SpikeHorizon,INDEX(Buffers!$D:$D,MATCH($H1961,Buffers!$AE:$AE,0))),0),$E1961&gt;=SpikePct*INDEX(Buffers!$P:$P,MATCH($H1961,Buffers!$AE:$AE,0))),"Spike","Not qualified"))))))</f>
        <v/>
      </c>
      <c r="G1961" s="8" t="str">
        <f aca="false">IF($A1961="","",IF(OR($F1961="Past due",$F1961="Due today",$F1961="Spike"),$C1961,0))</f>
        <v/>
      </c>
      <c r="H1961" s="8" t="str">
        <f aca="false">IF($A1961="","",SUBSTITUTE(SUBSTITUTE(SUBSTITUTE($A1961&amp;"","~","~~"),"*","~*"),"?","~?"))</f>
        <v/>
      </c>
    </row>
    <row r="1962" customFormat="false" ht="15" hidden="false" customHeight="false" outlineLevel="0" collapsed="false">
      <c r="A1962" s="11"/>
      <c r="B1962" s="6"/>
      <c r="C1962" s="11"/>
      <c r="D1962" s="11"/>
      <c r="E1962" s="8" t="str">
        <f aca="false">IF($A1962="","",SUMIFS($C:$C,$A:$A,$H1962,$B:$B,"&gt;="&amp;INT($B1962),$B:$B,"&lt;"&amp;(INT($B1962)+1)))</f>
        <v/>
      </c>
      <c r="F1962" s="19" t="str">
        <f aca="false">IF($A1962="","",IF(ISNA(MATCH($H1962,Buffers!$AE:$AE,0)),"Not on Buffers",IF(NOT(ISNUMBER($B1962)),"Needs a date",IF(INT($B1962)&lt;PlanDate,"Past due",IF(INT($B1962)=PlanDate,"Due today",IF(AND(INDEX(Buffers!$L:$L,MATCH($H1962,Buffers!$AE:$AE,0))="Planned",$E1962&gt;0,INT($B1962)&lt;=PlanDate+ROUNDUP(IF(ISNUMBER(SpikeHorizon),SpikeHorizon,INDEX(Buffers!$D:$D,MATCH($H1962,Buffers!$AE:$AE,0))),0),$E1962&gt;=SpikePct*INDEX(Buffers!$P:$P,MATCH($H1962,Buffers!$AE:$AE,0))),"Spike","Not qualified"))))))</f>
        <v/>
      </c>
      <c r="G1962" s="8" t="str">
        <f aca="false">IF($A1962="","",IF(OR($F1962="Past due",$F1962="Due today",$F1962="Spike"),$C1962,0))</f>
        <v/>
      </c>
      <c r="H1962" s="8" t="str">
        <f aca="false">IF($A1962="","",SUBSTITUTE(SUBSTITUTE(SUBSTITUTE($A1962&amp;"","~","~~"),"*","~*"),"?","~?"))</f>
        <v/>
      </c>
    </row>
    <row r="1963" customFormat="false" ht="15" hidden="false" customHeight="false" outlineLevel="0" collapsed="false">
      <c r="A1963" s="11"/>
      <c r="B1963" s="6"/>
      <c r="C1963" s="11"/>
      <c r="D1963" s="11"/>
      <c r="E1963" s="8" t="str">
        <f aca="false">IF($A1963="","",SUMIFS($C:$C,$A:$A,$H1963,$B:$B,"&gt;="&amp;INT($B1963),$B:$B,"&lt;"&amp;(INT($B1963)+1)))</f>
        <v/>
      </c>
      <c r="F1963" s="19" t="str">
        <f aca="false">IF($A1963="","",IF(ISNA(MATCH($H1963,Buffers!$AE:$AE,0)),"Not on Buffers",IF(NOT(ISNUMBER($B1963)),"Needs a date",IF(INT($B1963)&lt;PlanDate,"Past due",IF(INT($B1963)=PlanDate,"Due today",IF(AND(INDEX(Buffers!$L:$L,MATCH($H1963,Buffers!$AE:$AE,0))="Planned",$E1963&gt;0,INT($B1963)&lt;=PlanDate+ROUNDUP(IF(ISNUMBER(SpikeHorizon),SpikeHorizon,INDEX(Buffers!$D:$D,MATCH($H1963,Buffers!$AE:$AE,0))),0),$E1963&gt;=SpikePct*INDEX(Buffers!$P:$P,MATCH($H1963,Buffers!$AE:$AE,0))),"Spike","Not qualified"))))))</f>
        <v/>
      </c>
      <c r="G1963" s="8" t="str">
        <f aca="false">IF($A1963="","",IF(OR($F1963="Past due",$F1963="Due today",$F1963="Spike"),$C1963,0))</f>
        <v/>
      </c>
      <c r="H1963" s="8" t="str">
        <f aca="false">IF($A1963="","",SUBSTITUTE(SUBSTITUTE(SUBSTITUTE($A1963&amp;"","~","~~"),"*","~*"),"?","~?"))</f>
        <v/>
      </c>
    </row>
    <row r="1964" customFormat="false" ht="15" hidden="false" customHeight="false" outlineLevel="0" collapsed="false">
      <c r="A1964" s="11"/>
      <c r="B1964" s="6"/>
      <c r="C1964" s="11"/>
      <c r="D1964" s="11"/>
      <c r="E1964" s="8" t="str">
        <f aca="false">IF($A1964="","",SUMIFS($C:$C,$A:$A,$H1964,$B:$B,"&gt;="&amp;INT($B1964),$B:$B,"&lt;"&amp;(INT($B1964)+1)))</f>
        <v/>
      </c>
      <c r="F1964" s="19" t="str">
        <f aca="false">IF($A1964="","",IF(ISNA(MATCH($H1964,Buffers!$AE:$AE,0)),"Not on Buffers",IF(NOT(ISNUMBER($B1964)),"Needs a date",IF(INT($B1964)&lt;PlanDate,"Past due",IF(INT($B1964)=PlanDate,"Due today",IF(AND(INDEX(Buffers!$L:$L,MATCH($H1964,Buffers!$AE:$AE,0))="Planned",$E1964&gt;0,INT($B1964)&lt;=PlanDate+ROUNDUP(IF(ISNUMBER(SpikeHorizon),SpikeHorizon,INDEX(Buffers!$D:$D,MATCH($H1964,Buffers!$AE:$AE,0))),0),$E1964&gt;=SpikePct*INDEX(Buffers!$P:$P,MATCH($H1964,Buffers!$AE:$AE,0))),"Spike","Not qualified"))))))</f>
        <v/>
      </c>
      <c r="G1964" s="8" t="str">
        <f aca="false">IF($A1964="","",IF(OR($F1964="Past due",$F1964="Due today",$F1964="Spike"),$C1964,0))</f>
        <v/>
      </c>
      <c r="H1964" s="8" t="str">
        <f aca="false">IF($A1964="","",SUBSTITUTE(SUBSTITUTE(SUBSTITUTE($A1964&amp;"","~","~~"),"*","~*"),"?","~?"))</f>
        <v/>
      </c>
    </row>
    <row r="1965" customFormat="false" ht="15" hidden="false" customHeight="false" outlineLevel="0" collapsed="false">
      <c r="A1965" s="11"/>
      <c r="B1965" s="6"/>
      <c r="C1965" s="11"/>
      <c r="D1965" s="11"/>
      <c r="E1965" s="8" t="str">
        <f aca="false">IF($A1965="","",SUMIFS($C:$C,$A:$A,$H1965,$B:$B,"&gt;="&amp;INT($B1965),$B:$B,"&lt;"&amp;(INT($B1965)+1)))</f>
        <v/>
      </c>
      <c r="F1965" s="19" t="str">
        <f aca="false">IF($A1965="","",IF(ISNA(MATCH($H1965,Buffers!$AE:$AE,0)),"Not on Buffers",IF(NOT(ISNUMBER($B1965)),"Needs a date",IF(INT($B1965)&lt;PlanDate,"Past due",IF(INT($B1965)=PlanDate,"Due today",IF(AND(INDEX(Buffers!$L:$L,MATCH($H1965,Buffers!$AE:$AE,0))="Planned",$E1965&gt;0,INT($B1965)&lt;=PlanDate+ROUNDUP(IF(ISNUMBER(SpikeHorizon),SpikeHorizon,INDEX(Buffers!$D:$D,MATCH($H1965,Buffers!$AE:$AE,0))),0),$E1965&gt;=SpikePct*INDEX(Buffers!$P:$P,MATCH($H1965,Buffers!$AE:$AE,0))),"Spike","Not qualified"))))))</f>
        <v/>
      </c>
      <c r="G1965" s="8" t="str">
        <f aca="false">IF($A1965="","",IF(OR($F1965="Past due",$F1965="Due today",$F1965="Spike"),$C1965,0))</f>
        <v/>
      </c>
      <c r="H1965" s="8" t="str">
        <f aca="false">IF($A1965="","",SUBSTITUTE(SUBSTITUTE(SUBSTITUTE($A1965&amp;"","~","~~"),"*","~*"),"?","~?"))</f>
        <v/>
      </c>
    </row>
    <row r="1966" customFormat="false" ht="15" hidden="false" customHeight="false" outlineLevel="0" collapsed="false">
      <c r="A1966" s="11"/>
      <c r="B1966" s="6"/>
      <c r="C1966" s="11"/>
      <c r="D1966" s="11"/>
      <c r="E1966" s="8" t="str">
        <f aca="false">IF($A1966="","",SUMIFS($C:$C,$A:$A,$H1966,$B:$B,"&gt;="&amp;INT($B1966),$B:$B,"&lt;"&amp;(INT($B1966)+1)))</f>
        <v/>
      </c>
      <c r="F1966" s="19" t="str">
        <f aca="false">IF($A1966="","",IF(ISNA(MATCH($H1966,Buffers!$AE:$AE,0)),"Not on Buffers",IF(NOT(ISNUMBER($B1966)),"Needs a date",IF(INT($B1966)&lt;PlanDate,"Past due",IF(INT($B1966)=PlanDate,"Due today",IF(AND(INDEX(Buffers!$L:$L,MATCH($H1966,Buffers!$AE:$AE,0))="Planned",$E1966&gt;0,INT($B1966)&lt;=PlanDate+ROUNDUP(IF(ISNUMBER(SpikeHorizon),SpikeHorizon,INDEX(Buffers!$D:$D,MATCH($H1966,Buffers!$AE:$AE,0))),0),$E1966&gt;=SpikePct*INDEX(Buffers!$P:$P,MATCH($H1966,Buffers!$AE:$AE,0))),"Spike","Not qualified"))))))</f>
        <v/>
      </c>
      <c r="G1966" s="8" t="str">
        <f aca="false">IF($A1966="","",IF(OR($F1966="Past due",$F1966="Due today",$F1966="Spike"),$C1966,0))</f>
        <v/>
      </c>
      <c r="H1966" s="8" t="str">
        <f aca="false">IF($A1966="","",SUBSTITUTE(SUBSTITUTE(SUBSTITUTE($A1966&amp;"","~","~~"),"*","~*"),"?","~?"))</f>
        <v/>
      </c>
    </row>
    <row r="1967" customFormat="false" ht="15" hidden="false" customHeight="false" outlineLevel="0" collapsed="false">
      <c r="A1967" s="11"/>
      <c r="B1967" s="6"/>
      <c r="C1967" s="11"/>
      <c r="D1967" s="11"/>
      <c r="E1967" s="8" t="str">
        <f aca="false">IF($A1967="","",SUMIFS($C:$C,$A:$A,$H1967,$B:$B,"&gt;="&amp;INT($B1967),$B:$B,"&lt;"&amp;(INT($B1967)+1)))</f>
        <v/>
      </c>
      <c r="F1967" s="19" t="str">
        <f aca="false">IF($A1967="","",IF(ISNA(MATCH($H1967,Buffers!$AE:$AE,0)),"Not on Buffers",IF(NOT(ISNUMBER($B1967)),"Needs a date",IF(INT($B1967)&lt;PlanDate,"Past due",IF(INT($B1967)=PlanDate,"Due today",IF(AND(INDEX(Buffers!$L:$L,MATCH($H1967,Buffers!$AE:$AE,0))="Planned",$E1967&gt;0,INT($B1967)&lt;=PlanDate+ROUNDUP(IF(ISNUMBER(SpikeHorizon),SpikeHorizon,INDEX(Buffers!$D:$D,MATCH($H1967,Buffers!$AE:$AE,0))),0),$E1967&gt;=SpikePct*INDEX(Buffers!$P:$P,MATCH($H1967,Buffers!$AE:$AE,0))),"Spike","Not qualified"))))))</f>
        <v/>
      </c>
      <c r="G1967" s="8" t="str">
        <f aca="false">IF($A1967="","",IF(OR($F1967="Past due",$F1967="Due today",$F1967="Spike"),$C1967,0))</f>
        <v/>
      </c>
      <c r="H1967" s="8" t="str">
        <f aca="false">IF($A1967="","",SUBSTITUTE(SUBSTITUTE(SUBSTITUTE($A1967&amp;"","~","~~"),"*","~*"),"?","~?"))</f>
        <v/>
      </c>
    </row>
    <row r="1968" customFormat="false" ht="15" hidden="false" customHeight="false" outlineLevel="0" collapsed="false">
      <c r="A1968" s="11"/>
      <c r="B1968" s="6"/>
      <c r="C1968" s="11"/>
      <c r="D1968" s="11"/>
      <c r="E1968" s="8" t="str">
        <f aca="false">IF($A1968="","",SUMIFS($C:$C,$A:$A,$H1968,$B:$B,"&gt;="&amp;INT($B1968),$B:$B,"&lt;"&amp;(INT($B1968)+1)))</f>
        <v/>
      </c>
      <c r="F1968" s="19" t="str">
        <f aca="false">IF($A1968="","",IF(ISNA(MATCH($H1968,Buffers!$AE:$AE,0)),"Not on Buffers",IF(NOT(ISNUMBER($B1968)),"Needs a date",IF(INT($B1968)&lt;PlanDate,"Past due",IF(INT($B1968)=PlanDate,"Due today",IF(AND(INDEX(Buffers!$L:$L,MATCH($H1968,Buffers!$AE:$AE,0))="Planned",$E1968&gt;0,INT($B1968)&lt;=PlanDate+ROUNDUP(IF(ISNUMBER(SpikeHorizon),SpikeHorizon,INDEX(Buffers!$D:$D,MATCH($H1968,Buffers!$AE:$AE,0))),0),$E1968&gt;=SpikePct*INDEX(Buffers!$P:$P,MATCH($H1968,Buffers!$AE:$AE,0))),"Spike","Not qualified"))))))</f>
        <v/>
      </c>
      <c r="G1968" s="8" t="str">
        <f aca="false">IF($A1968="","",IF(OR($F1968="Past due",$F1968="Due today",$F1968="Spike"),$C1968,0))</f>
        <v/>
      </c>
      <c r="H1968" s="8" t="str">
        <f aca="false">IF($A1968="","",SUBSTITUTE(SUBSTITUTE(SUBSTITUTE($A1968&amp;"","~","~~"),"*","~*"),"?","~?"))</f>
        <v/>
      </c>
    </row>
    <row r="1969" customFormat="false" ht="15" hidden="false" customHeight="false" outlineLevel="0" collapsed="false">
      <c r="A1969" s="11"/>
      <c r="B1969" s="6"/>
      <c r="C1969" s="11"/>
      <c r="D1969" s="11"/>
      <c r="E1969" s="8" t="str">
        <f aca="false">IF($A1969="","",SUMIFS($C:$C,$A:$A,$H1969,$B:$B,"&gt;="&amp;INT($B1969),$B:$B,"&lt;"&amp;(INT($B1969)+1)))</f>
        <v/>
      </c>
      <c r="F1969" s="19" t="str">
        <f aca="false">IF($A1969="","",IF(ISNA(MATCH($H1969,Buffers!$AE:$AE,0)),"Not on Buffers",IF(NOT(ISNUMBER($B1969)),"Needs a date",IF(INT($B1969)&lt;PlanDate,"Past due",IF(INT($B1969)=PlanDate,"Due today",IF(AND(INDEX(Buffers!$L:$L,MATCH($H1969,Buffers!$AE:$AE,0))="Planned",$E1969&gt;0,INT($B1969)&lt;=PlanDate+ROUNDUP(IF(ISNUMBER(SpikeHorizon),SpikeHorizon,INDEX(Buffers!$D:$D,MATCH($H1969,Buffers!$AE:$AE,0))),0),$E1969&gt;=SpikePct*INDEX(Buffers!$P:$P,MATCH($H1969,Buffers!$AE:$AE,0))),"Spike","Not qualified"))))))</f>
        <v/>
      </c>
      <c r="G1969" s="8" t="str">
        <f aca="false">IF($A1969="","",IF(OR($F1969="Past due",$F1969="Due today",$F1969="Spike"),$C1969,0))</f>
        <v/>
      </c>
      <c r="H1969" s="8" t="str">
        <f aca="false">IF($A1969="","",SUBSTITUTE(SUBSTITUTE(SUBSTITUTE($A1969&amp;"","~","~~"),"*","~*"),"?","~?"))</f>
        <v/>
      </c>
    </row>
    <row r="1970" customFormat="false" ht="15" hidden="false" customHeight="false" outlineLevel="0" collapsed="false">
      <c r="A1970" s="11"/>
      <c r="B1970" s="6"/>
      <c r="C1970" s="11"/>
      <c r="D1970" s="11"/>
      <c r="E1970" s="8" t="str">
        <f aca="false">IF($A1970="","",SUMIFS($C:$C,$A:$A,$H1970,$B:$B,"&gt;="&amp;INT($B1970),$B:$B,"&lt;"&amp;(INT($B1970)+1)))</f>
        <v/>
      </c>
      <c r="F1970" s="19" t="str">
        <f aca="false">IF($A1970="","",IF(ISNA(MATCH($H1970,Buffers!$AE:$AE,0)),"Not on Buffers",IF(NOT(ISNUMBER($B1970)),"Needs a date",IF(INT($B1970)&lt;PlanDate,"Past due",IF(INT($B1970)=PlanDate,"Due today",IF(AND(INDEX(Buffers!$L:$L,MATCH($H1970,Buffers!$AE:$AE,0))="Planned",$E1970&gt;0,INT($B1970)&lt;=PlanDate+ROUNDUP(IF(ISNUMBER(SpikeHorizon),SpikeHorizon,INDEX(Buffers!$D:$D,MATCH($H1970,Buffers!$AE:$AE,0))),0),$E1970&gt;=SpikePct*INDEX(Buffers!$P:$P,MATCH($H1970,Buffers!$AE:$AE,0))),"Spike","Not qualified"))))))</f>
        <v/>
      </c>
      <c r="G1970" s="8" t="str">
        <f aca="false">IF($A1970="","",IF(OR($F1970="Past due",$F1970="Due today",$F1970="Spike"),$C1970,0))</f>
        <v/>
      </c>
      <c r="H1970" s="8" t="str">
        <f aca="false">IF($A1970="","",SUBSTITUTE(SUBSTITUTE(SUBSTITUTE($A1970&amp;"","~","~~"),"*","~*"),"?","~?"))</f>
        <v/>
      </c>
    </row>
    <row r="1971" customFormat="false" ht="15" hidden="false" customHeight="false" outlineLevel="0" collapsed="false">
      <c r="A1971" s="11"/>
      <c r="B1971" s="6"/>
      <c r="C1971" s="11"/>
      <c r="D1971" s="11"/>
      <c r="E1971" s="8" t="str">
        <f aca="false">IF($A1971="","",SUMIFS($C:$C,$A:$A,$H1971,$B:$B,"&gt;="&amp;INT($B1971),$B:$B,"&lt;"&amp;(INT($B1971)+1)))</f>
        <v/>
      </c>
      <c r="F1971" s="19" t="str">
        <f aca="false">IF($A1971="","",IF(ISNA(MATCH($H1971,Buffers!$AE:$AE,0)),"Not on Buffers",IF(NOT(ISNUMBER($B1971)),"Needs a date",IF(INT($B1971)&lt;PlanDate,"Past due",IF(INT($B1971)=PlanDate,"Due today",IF(AND(INDEX(Buffers!$L:$L,MATCH($H1971,Buffers!$AE:$AE,0))="Planned",$E1971&gt;0,INT($B1971)&lt;=PlanDate+ROUNDUP(IF(ISNUMBER(SpikeHorizon),SpikeHorizon,INDEX(Buffers!$D:$D,MATCH($H1971,Buffers!$AE:$AE,0))),0),$E1971&gt;=SpikePct*INDEX(Buffers!$P:$P,MATCH($H1971,Buffers!$AE:$AE,0))),"Spike","Not qualified"))))))</f>
        <v/>
      </c>
      <c r="G1971" s="8" t="str">
        <f aca="false">IF($A1971="","",IF(OR($F1971="Past due",$F1971="Due today",$F1971="Spike"),$C1971,0))</f>
        <v/>
      </c>
      <c r="H1971" s="8" t="str">
        <f aca="false">IF($A1971="","",SUBSTITUTE(SUBSTITUTE(SUBSTITUTE($A1971&amp;"","~","~~"),"*","~*"),"?","~?"))</f>
        <v/>
      </c>
    </row>
    <row r="1972" customFormat="false" ht="15" hidden="false" customHeight="false" outlineLevel="0" collapsed="false">
      <c r="A1972" s="11"/>
      <c r="B1972" s="6"/>
      <c r="C1972" s="11"/>
      <c r="D1972" s="11"/>
      <c r="E1972" s="8" t="str">
        <f aca="false">IF($A1972="","",SUMIFS($C:$C,$A:$A,$H1972,$B:$B,"&gt;="&amp;INT($B1972),$B:$B,"&lt;"&amp;(INT($B1972)+1)))</f>
        <v/>
      </c>
      <c r="F1972" s="19" t="str">
        <f aca="false">IF($A1972="","",IF(ISNA(MATCH($H1972,Buffers!$AE:$AE,0)),"Not on Buffers",IF(NOT(ISNUMBER($B1972)),"Needs a date",IF(INT($B1972)&lt;PlanDate,"Past due",IF(INT($B1972)=PlanDate,"Due today",IF(AND(INDEX(Buffers!$L:$L,MATCH($H1972,Buffers!$AE:$AE,0))="Planned",$E1972&gt;0,INT($B1972)&lt;=PlanDate+ROUNDUP(IF(ISNUMBER(SpikeHorizon),SpikeHorizon,INDEX(Buffers!$D:$D,MATCH($H1972,Buffers!$AE:$AE,0))),0),$E1972&gt;=SpikePct*INDEX(Buffers!$P:$P,MATCH($H1972,Buffers!$AE:$AE,0))),"Spike","Not qualified"))))))</f>
        <v/>
      </c>
      <c r="G1972" s="8" t="str">
        <f aca="false">IF($A1972="","",IF(OR($F1972="Past due",$F1972="Due today",$F1972="Spike"),$C1972,0))</f>
        <v/>
      </c>
      <c r="H1972" s="8" t="str">
        <f aca="false">IF($A1972="","",SUBSTITUTE(SUBSTITUTE(SUBSTITUTE($A1972&amp;"","~","~~"),"*","~*"),"?","~?"))</f>
        <v/>
      </c>
    </row>
    <row r="1973" customFormat="false" ht="15" hidden="false" customHeight="false" outlineLevel="0" collapsed="false">
      <c r="A1973" s="11"/>
      <c r="B1973" s="6"/>
      <c r="C1973" s="11"/>
      <c r="D1973" s="11"/>
      <c r="E1973" s="8" t="str">
        <f aca="false">IF($A1973="","",SUMIFS($C:$C,$A:$A,$H1973,$B:$B,"&gt;="&amp;INT($B1973),$B:$B,"&lt;"&amp;(INT($B1973)+1)))</f>
        <v/>
      </c>
      <c r="F1973" s="19" t="str">
        <f aca="false">IF($A1973="","",IF(ISNA(MATCH($H1973,Buffers!$AE:$AE,0)),"Not on Buffers",IF(NOT(ISNUMBER($B1973)),"Needs a date",IF(INT($B1973)&lt;PlanDate,"Past due",IF(INT($B1973)=PlanDate,"Due today",IF(AND(INDEX(Buffers!$L:$L,MATCH($H1973,Buffers!$AE:$AE,0))="Planned",$E1973&gt;0,INT($B1973)&lt;=PlanDate+ROUNDUP(IF(ISNUMBER(SpikeHorizon),SpikeHorizon,INDEX(Buffers!$D:$D,MATCH($H1973,Buffers!$AE:$AE,0))),0),$E1973&gt;=SpikePct*INDEX(Buffers!$P:$P,MATCH($H1973,Buffers!$AE:$AE,0))),"Spike","Not qualified"))))))</f>
        <v/>
      </c>
      <c r="G1973" s="8" t="str">
        <f aca="false">IF($A1973="","",IF(OR($F1973="Past due",$F1973="Due today",$F1973="Spike"),$C1973,0))</f>
        <v/>
      </c>
      <c r="H1973" s="8" t="str">
        <f aca="false">IF($A1973="","",SUBSTITUTE(SUBSTITUTE(SUBSTITUTE($A1973&amp;"","~","~~"),"*","~*"),"?","~?"))</f>
        <v/>
      </c>
    </row>
    <row r="1974" customFormat="false" ht="15" hidden="false" customHeight="false" outlineLevel="0" collapsed="false">
      <c r="A1974" s="11"/>
      <c r="B1974" s="6"/>
      <c r="C1974" s="11"/>
      <c r="D1974" s="11"/>
      <c r="E1974" s="8" t="str">
        <f aca="false">IF($A1974="","",SUMIFS($C:$C,$A:$A,$H1974,$B:$B,"&gt;="&amp;INT($B1974),$B:$B,"&lt;"&amp;(INT($B1974)+1)))</f>
        <v/>
      </c>
      <c r="F1974" s="19" t="str">
        <f aca="false">IF($A1974="","",IF(ISNA(MATCH($H1974,Buffers!$AE:$AE,0)),"Not on Buffers",IF(NOT(ISNUMBER($B1974)),"Needs a date",IF(INT($B1974)&lt;PlanDate,"Past due",IF(INT($B1974)=PlanDate,"Due today",IF(AND(INDEX(Buffers!$L:$L,MATCH($H1974,Buffers!$AE:$AE,0))="Planned",$E1974&gt;0,INT($B1974)&lt;=PlanDate+ROUNDUP(IF(ISNUMBER(SpikeHorizon),SpikeHorizon,INDEX(Buffers!$D:$D,MATCH($H1974,Buffers!$AE:$AE,0))),0),$E1974&gt;=SpikePct*INDEX(Buffers!$P:$P,MATCH($H1974,Buffers!$AE:$AE,0))),"Spike","Not qualified"))))))</f>
        <v/>
      </c>
      <c r="G1974" s="8" t="str">
        <f aca="false">IF($A1974="","",IF(OR($F1974="Past due",$F1974="Due today",$F1974="Spike"),$C1974,0))</f>
        <v/>
      </c>
      <c r="H1974" s="8" t="str">
        <f aca="false">IF($A1974="","",SUBSTITUTE(SUBSTITUTE(SUBSTITUTE($A1974&amp;"","~","~~"),"*","~*"),"?","~?"))</f>
        <v/>
      </c>
    </row>
    <row r="1975" customFormat="false" ht="15" hidden="false" customHeight="false" outlineLevel="0" collapsed="false">
      <c r="A1975" s="11"/>
      <c r="B1975" s="6"/>
      <c r="C1975" s="11"/>
      <c r="D1975" s="11"/>
      <c r="E1975" s="8" t="str">
        <f aca="false">IF($A1975="","",SUMIFS($C:$C,$A:$A,$H1975,$B:$B,"&gt;="&amp;INT($B1975),$B:$B,"&lt;"&amp;(INT($B1975)+1)))</f>
        <v/>
      </c>
      <c r="F1975" s="19" t="str">
        <f aca="false">IF($A1975="","",IF(ISNA(MATCH($H1975,Buffers!$AE:$AE,0)),"Not on Buffers",IF(NOT(ISNUMBER($B1975)),"Needs a date",IF(INT($B1975)&lt;PlanDate,"Past due",IF(INT($B1975)=PlanDate,"Due today",IF(AND(INDEX(Buffers!$L:$L,MATCH($H1975,Buffers!$AE:$AE,0))="Planned",$E1975&gt;0,INT($B1975)&lt;=PlanDate+ROUNDUP(IF(ISNUMBER(SpikeHorizon),SpikeHorizon,INDEX(Buffers!$D:$D,MATCH($H1975,Buffers!$AE:$AE,0))),0),$E1975&gt;=SpikePct*INDEX(Buffers!$P:$P,MATCH($H1975,Buffers!$AE:$AE,0))),"Spike","Not qualified"))))))</f>
        <v/>
      </c>
      <c r="G1975" s="8" t="str">
        <f aca="false">IF($A1975="","",IF(OR($F1975="Past due",$F1975="Due today",$F1975="Spike"),$C1975,0))</f>
        <v/>
      </c>
      <c r="H1975" s="8" t="str">
        <f aca="false">IF($A1975="","",SUBSTITUTE(SUBSTITUTE(SUBSTITUTE($A1975&amp;"","~","~~"),"*","~*"),"?","~?"))</f>
        <v/>
      </c>
    </row>
    <row r="1976" customFormat="false" ht="15" hidden="false" customHeight="false" outlineLevel="0" collapsed="false">
      <c r="A1976" s="11"/>
      <c r="B1976" s="6"/>
      <c r="C1976" s="11"/>
      <c r="D1976" s="11"/>
      <c r="E1976" s="8" t="str">
        <f aca="false">IF($A1976="","",SUMIFS($C:$C,$A:$A,$H1976,$B:$B,"&gt;="&amp;INT($B1976),$B:$B,"&lt;"&amp;(INT($B1976)+1)))</f>
        <v/>
      </c>
      <c r="F1976" s="19" t="str">
        <f aca="false">IF($A1976="","",IF(ISNA(MATCH($H1976,Buffers!$AE:$AE,0)),"Not on Buffers",IF(NOT(ISNUMBER($B1976)),"Needs a date",IF(INT($B1976)&lt;PlanDate,"Past due",IF(INT($B1976)=PlanDate,"Due today",IF(AND(INDEX(Buffers!$L:$L,MATCH($H1976,Buffers!$AE:$AE,0))="Planned",$E1976&gt;0,INT($B1976)&lt;=PlanDate+ROUNDUP(IF(ISNUMBER(SpikeHorizon),SpikeHorizon,INDEX(Buffers!$D:$D,MATCH($H1976,Buffers!$AE:$AE,0))),0),$E1976&gt;=SpikePct*INDEX(Buffers!$P:$P,MATCH($H1976,Buffers!$AE:$AE,0))),"Spike","Not qualified"))))))</f>
        <v/>
      </c>
      <c r="G1976" s="8" t="str">
        <f aca="false">IF($A1976="","",IF(OR($F1976="Past due",$F1976="Due today",$F1976="Spike"),$C1976,0))</f>
        <v/>
      </c>
      <c r="H1976" s="8" t="str">
        <f aca="false">IF($A1976="","",SUBSTITUTE(SUBSTITUTE(SUBSTITUTE($A1976&amp;"","~","~~"),"*","~*"),"?","~?"))</f>
        <v/>
      </c>
    </row>
    <row r="1977" customFormat="false" ht="15" hidden="false" customHeight="false" outlineLevel="0" collapsed="false">
      <c r="A1977" s="11"/>
      <c r="B1977" s="6"/>
      <c r="C1977" s="11"/>
      <c r="D1977" s="11"/>
      <c r="E1977" s="8" t="str">
        <f aca="false">IF($A1977="","",SUMIFS($C:$C,$A:$A,$H1977,$B:$B,"&gt;="&amp;INT($B1977),$B:$B,"&lt;"&amp;(INT($B1977)+1)))</f>
        <v/>
      </c>
      <c r="F1977" s="19" t="str">
        <f aca="false">IF($A1977="","",IF(ISNA(MATCH($H1977,Buffers!$AE:$AE,0)),"Not on Buffers",IF(NOT(ISNUMBER($B1977)),"Needs a date",IF(INT($B1977)&lt;PlanDate,"Past due",IF(INT($B1977)=PlanDate,"Due today",IF(AND(INDEX(Buffers!$L:$L,MATCH($H1977,Buffers!$AE:$AE,0))="Planned",$E1977&gt;0,INT($B1977)&lt;=PlanDate+ROUNDUP(IF(ISNUMBER(SpikeHorizon),SpikeHorizon,INDEX(Buffers!$D:$D,MATCH($H1977,Buffers!$AE:$AE,0))),0),$E1977&gt;=SpikePct*INDEX(Buffers!$P:$P,MATCH($H1977,Buffers!$AE:$AE,0))),"Spike","Not qualified"))))))</f>
        <v/>
      </c>
      <c r="G1977" s="8" t="str">
        <f aca="false">IF($A1977="","",IF(OR($F1977="Past due",$F1977="Due today",$F1977="Spike"),$C1977,0))</f>
        <v/>
      </c>
      <c r="H1977" s="8" t="str">
        <f aca="false">IF($A1977="","",SUBSTITUTE(SUBSTITUTE(SUBSTITUTE($A1977&amp;"","~","~~"),"*","~*"),"?","~?"))</f>
        <v/>
      </c>
    </row>
    <row r="1978" customFormat="false" ht="15" hidden="false" customHeight="false" outlineLevel="0" collapsed="false">
      <c r="A1978" s="11"/>
      <c r="B1978" s="6"/>
      <c r="C1978" s="11"/>
      <c r="D1978" s="11"/>
      <c r="E1978" s="8" t="str">
        <f aca="false">IF($A1978="","",SUMIFS($C:$C,$A:$A,$H1978,$B:$B,"&gt;="&amp;INT($B1978),$B:$B,"&lt;"&amp;(INT($B1978)+1)))</f>
        <v/>
      </c>
      <c r="F1978" s="19" t="str">
        <f aca="false">IF($A1978="","",IF(ISNA(MATCH($H1978,Buffers!$AE:$AE,0)),"Not on Buffers",IF(NOT(ISNUMBER($B1978)),"Needs a date",IF(INT($B1978)&lt;PlanDate,"Past due",IF(INT($B1978)=PlanDate,"Due today",IF(AND(INDEX(Buffers!$L:$L,MATCH($H1978,Buffers!$AE:$AE,0))="Planned",$E1978&gt;0,INT($B1978)&lt;=PlanDate+ROUNDUP(IF(ISNUMBER(SpikeHorizon),SpikeHorizon,INDEX(Buffers!$D:$D,MATCH($H1978,Buffers!$AE:$AE,0))),0),$E1978&gt;=SpikePct*INDEX(Buffers!$P:$P,MATCH($H1978,Buffers!$AE:$AE,0))),"Spike","Not qualified"))))))</f>
        <v/>
      </c>
      <c r="G1978" s="8" t="str">
        <f aca="false">IF($A1978="","",IF(OR($F1978="Past due",$F1978="Due today",$F1978="Spike"),$C1978,0))</f>
        <v/>
      </c>
      <c r="H1978" s="8" t="str">
        <f aca="false">IF($A1978="","",SUBSTITUTE(SUBSTITUTE(SUBSTITUTE($A1978&amp;"","~","~~"),"*","~*"),"?","~?"))</f>
        <v/>
      </c>
    </row>
    <row r="1979" customFormat="false" ht="15" hidden="false" customHeight="false" outlineLevel="0" collapsed="false">
      <c r="A1979" s="11"/>
      <c r="B1979" s="6"/>
      <c r="C1979" s="11"/>
      <c r="D1979" s="11"/>
      <c r="E1979" s="8" t="str">
        <f aca="false">IF($A1979="","",SUMIFS($C:$C,$A:$A,$H1979,$B:$B,"&gt;="&amp;INT($B1979),$B:$B,"&lt;"&amp;(INT($B1979)+1)))</f>
        <v/>
      </c>
      <c r="F1979" s="19" t="str">
        <f aca="false">IF($A1979="","",IF(ISNA(MATCH($H1979,Buffers!$AE:$AE,0)),"Not on Buffers",IF(NOT(ISNUMBER($B1979)),"Needs a date",IF(INT($B1979)&lt;PlanDate,"Past due",IF(INT($B1979)=PlanDate,"Due today",IF(AND(INDEX(Buffers!$L:$L,MATCH($H1979,Buffers!$AE:$AE,0))="Planned",$E1979&gt;0,INT($B1979)&lt;=PlanDate+ROUNDUP(IF(ISNUMBER(SpikeHorizon),SpikeHorizon,INDEX(Buffers!$D:$D,MATCH($H1979,Buffers!$AE:$AE,0))),0),$E1979&gt;=SpikePct*INDEX(Buffers!$P:$P,MATCH($H1979,Buffers!$AE:$AE,0))),"Spike","Not qualified"))))))</f>
        <v/>
      </c>
      <c r="G1979" s="8" t="str">
        <f aca="false">IF($A1979="","",IF(OR($F1979="Past due",$F1979="Due today",$F1979="Spike"),$C1979,0))</f>
        <v/>
      </c>
      <c r="H1979" s="8" t="str">
        <f aca="false">IF($A1979="","",SUBSTITUTE(SUBSTITUTE(SUBSTITUTE($A1979&amp;"","~","~~"),"*","~*"),"?","~?"))</f>
        <v/>
      </c>
    </row>
    <row r="1980" customFormat="false" ht="15" hidden="false" customHeight="false" outlineLevel="0" collapsed="false">
      <c r="A1980" s="11"/>
      <c r="B1980" s="6"/>
      <c r="C1980" s="11"/>
      <c r="D1980" s="11"/>
      <c r="E1980" s="8" t="str">
        <f aca="false">IF($A1980="","",SUMIFS($C:$C,$A:$A,$H1980,$B:$B,"&gt;="&amp;INT($B1980),$B:$B,"&lt;"&amp;(INT($B1980)+1)))</f>
        <v/>
      </c>
      <c r="F1980" s="19" t="str">
        <f aca="false">IF($A1980="","",IF(ISNA(MATCH($H1980,Buffers!$AE:$AE,0)),"Not on Buffers",IF(NOT(ISNUMBER($B1980)),"Needs a date",IF(INT($B1980)&lt;PlanDate,"Past due",IF(INT($B1980)=PlanDate,"Due today",IF(AND(INDEX(Buffers!$L:$L,MATCH($H1980,Buffers!$AE:$AE,0))="Planned",$E1980&gt;0,INT($B1980)&lt;=PlanDate+ROUNDUP(IF(ISNUMBER(SpikeHorizon),SpikeHorizon,INDEX(Buffers!$D:$D,MATCH($H1980,Buffers!$AE:$AE,0))),0),$E1980&gt;=SpikePct*INDEX(Buffers!$P:$P,MATCH($H1980,Buffers!$AE:$AE,0))),"Spike","Not qualified"))))))</f>
        <v/>
      </c>
      <c r="G1980" s="8" t="str">
        <f aca="false">IF($A1980="","",IF(OR($F1980="Past due",$F1980="Due today",$F1980="Spike"),$C1980,0))</f>
        <v/>
      </c>
      <c r="H1980" s="8" t="str">
        <f aca="false">IF($A1980="","",SUBSTITUTE(SUBSTITUTE(SUBSTITUTE($A1980&amp;"","~","~~"),"*","~*"),"?","~?"))</f>
        <v/>
      </c>
    </row>
    <row r="1981" customFormat="false" ht="15" hidden="false" customHeight="false" outlineLevel="0" collapsed="false">
      <c r="A1981" s="11"/>
      <c r="B1981" s="6"/>
      <c r="C1981" s="11"/>
      <c r="D1981" s="11"/>
      <c r="E1981" s="8" t="str">
        <f aca="false">IF($A1981="","",SUMIFS($C:$C,$A:$A,$H1981,$B:$B,"&gt;="&amp;INT($B1981),$B:$B,"&lt;"&amp;(INT($B1981)+1)))</f>
        <v/>
      </c>
      <c r="F1981" s="19" t="str">
        <f aca="false">IF($A1981="","",IF(ISNA(MATCH($H1981,Buffers!$AE:$AE,0)),"Not on Buffers",IF(NOT(ISNUMBER($B1981)),"Needs a date",IF(INT($B1981)&lt;PlanDate,"Past due",IF(INT($B1981)=PlanDate,"Due today",IF(AND(INDEX(Buffers!$L:$L,MATCH($H1981,Buffers!$AE:$AE,0))="Planned",$E1981&gt;0,INT($B1981)&lt;=PlanDate+ROUNDUP(IF(ISNUMBER(SpikeHorizon),SpikeHorizon,INDEX(Buffers!$D:$D,MATCH($H1981,Buffers!$AE:$AE,0))),0),$E1981&gt;=SpikePct*INDEX(Buffers!$P:$P,MATCH($H1981,Buffers!$AE:$AE,0))),"Spike","Not qualified"))))))</f>
        <v/>
      </c>
      <c r="G1981" s="8" t="str">
        <f aca="false">IF($A1981="","",IF(OR($F1981="Past due",$F1981="Due today",$F1981="Spike"),$C1981,0))</f>
        <v/>
      </c>
      <c r="H1981" s="8" t="str">
        <f aca="false">IF($A1981="","",SUBSTITUTE(SUBSTITUTE(SUBSTITUTE($A1981&amp;"","~","~~"),"*","~*"),"?","~?"))</f>
        <v/>
      </c>
    </row>
    <row r="1982" customFormat="false" ht="15" hidden="false" customHeight="false" outlineLevel="0" collapsed="false">
      <c r="A1982" s="11"/>
      <c r="B1982" s="6"/>
      <c r="C1982" s="11"/>
      <c r="D1982" s="11"/>
      <c r="E1982" s="8" t="str">
        <f aca="false">IF($A1982="","",SUMIFS($C:$C,$A:$A,$H1982,$B:$B,"&gt;="&amp;INT($B1982),$B:$B,"&lt;"&amp;(INT($B1982)+1)))</f>
        <v/>
      </c>
      <c r="F1982" s="19" t="str">
        <f aca="false">IF($A1982="","",IF(ISNA(MATCH($H1982,Buffers!$AE:$AE,0)),"Not on Buffers",IF(NOT(ISNUMBER($B1982)),"Needs a date",IF(INT($B1982)&lt;PlanDate,"Past due",IF(INT($B1982)=PlanDate,"Due today",IF(AND(INDEX(Buffers!$L:$L,MATCH($H1982,Buffers!$AE:$AE,0))="Planned",$E1982&gt;0,INT($B1982)&lt;=PlanDate+ROUNDUP(IF(ISNUMBER(SpikeHorizon),SpikeHorizon,INDEX(Buffers!$D:$D,MATCH($H1982,Buffers!$AE:$AE,0))),0),$E1982&gt;=SpikePct*INDEX(Buffers!$P:$P,MATCH($H1982,Buffers!$AE:$AE,0))),"Spike","Not qualified"))))))</f>
        <v/>
      </c>
      <c r="G1982" s="8" t="str">
        <f aca="false">IF($A1982="","",IF(OR($F1982="Past due",$F1982="Due today",$F1982="Spike"),$C1982,0))</f>
        <v/>
      </c>
      <c r="H1982" s="8" t="str">
        <f aca="false">IF($A1982="","",SUBSTITUTE(SUBSTITUTE(SUBSTITUTE($A1982&amp;"","~","~~"),"*","~*"),"?","~?"))</f>
        <v/>
      </c>
    </row>
    <row r="1983" customFormat="false" ht="15" hidden="false" customHeight="false" outlineLevel="0" collapsed="false">
      <c r="A1983" s="11"/>
      <c r="B1983" s="6"/>
      <c r="C1983" s="11"/>
      <c r="D1983" s="11"/>
      <c r="E1983" s="8" t="str">
        <f aca="false">IF($A1983="","",SUMIFS($C:$C,$A:$A,$H1983,$B:$B,"&gt;="&amp;INT($B1983),$B:$B,"&lt;"&amp;(INT($B1983)+1)))</f>
        <v/>
      </c>
      <c r="F1983" s="19" t="str">
        <f aca="false">IF($A1983="","",IF(ISNA(MATCH($H1983,Buffers!$AE:$AE,0)),"Not on Buffers",IF(NOT(ISNUMBER($B1983)),"Needs a date",IF(INT($B1983)&lt;PlanDate,"Past due",IF(INT($B1983)=PlanDate,"Due today",IF(AND(INDEX(Buffers!$L:$L,MATCH($H1983,Buffers!$AE:$AE,0))="Planned",$E1983&gt;0,INT($B1983)&lt;=PlanDate+ROUNDUP(IF(ISNUMBER(SpikeHorizon),SpikeHorizon,INDEX(Buffers!$D:$D,MATCH($H1983,Buffers!$AE:$AE,0))),0),$E1983&gt;=SpikePct*INDEX(Buffers!$P:$P,MATCH($H1983,Buffers!$AE:$AE,0))),"Spike","Not qualified"))))))</f>
        <v/>
      </c>
      <c r="G1983" s="8" t="str">
        <f aca="false">IF($A1983="","",IF(OR($F1983="Past due",$F1983="Due today",$F1983="Spike"),$C1983,0))</f>
        <v/>
      </c>
      <c r="H1983" s="8" t="str">
        <f aca="false">IF($A1983="","",SUBSTITUTE(SUBSTITUTE(SUBSTITUTE($A1983&amp;"","~","~~"),"*","~*"),"?","~?"))</f>
        <v/>
      </c>
    </row>
    <row r="1984" customFormat="false" ht="15" hidden="false" customHeight="false" outlineLevel="0" collapsed="false">
      <c r="A1984" s="11"/>
      <c r="B1984" s="6"/>
      <c r="C1984" s="11"/>
      <c r="D1984" s="11"/>
      <c r="E1984" s="8" t="str">
        <f aca="false">IF($A1984="","",SUMIFS($C:$C,$A:$A,$H1984,$B:$B,"&gt;="&amp;INT($B1984),$B:$B,"&lt;"&amp;(INT($B1984)+1)))</f>
        <v/>
      </c>
      <c r="F1984" s="19" t="str">
        <f aca="false">IF($A1984="","",IF(ISNA(MATCH($H1984,Buffers!$AE:$AE,0)),"Not on Buffers",IF(NOT(ISNUMBER($B1984)),"Needs a date",IF(INT($B1984)&lt;PlanDate,"Past due",IF(INT($B1984)=PlanDate,"Due today",IF(AND(INDEX(Buffers!$L:$L,MATCH($H1984,Buffers!$AE:$AE,0))="Planned",$E1984&gt;0,INT($B1984)&lt;=PlanDate+ROUNDUP(IF(ISNUMBER(SpikeHorizon),SpikeHorizon,INDEX(Buffers!$D:$D,MATCH($H1984,Buffers!$AE:$AE,0))),0),$E1984&gt;=SpikePct*INDEX(Buffers!$P:$P,MATCH($H1984,Buffers!$AE:$AE,0))),"Spike","Not qualified"))))))</f>
        <v/>
      </c>
      <c r="G1984" s="8" t="str">
        <f aca="false">IF($A1984="","",IF(OR($F1984="Past due",$F1984="Due today",$F1984="Spike"),$C1984,0))</f>
        <v/>
      </c>
      <c r="H1984" s="8" t="str">
        <f aca="false">IF($A1984="","",SUBSTITUTE(SUBSTITUTE(SUBSTITUTE($A1984&amp;"","~","~~"),"*","~*"),"?","~?"))</f>
        <v/>
      </c>
    </row>
    <row r="1985" customFormat="false" ht="15" hidden="false" customHeight="false" outlineLevel="0" collapsed="false">
      <c r="A1985" s="11"/>
      <c r="B1985" s="6"/>
      <c r="C1985" s="11"/>
      <c r="D1985" s="11"/>
      <c r="E1985" s="8" t="str">
        <f aca="false">IF($A1985="","",SUMIFS($C:$C,$A:$A,$H1985,$B:$B,"&gt;="&amp;INT($B1985),$B:$B,"&lt;"&amp;(INT($B1985)+1)))</f>
        <v/>
      </c>
      <c r="F1985" s="19" t="str">
        <f aca="false">IF($A1985="","",IF(ISNA(MATCH($H1985,Buffers!$AE:$AE,0)),"Not on Buffers",IF(NOT(ISNUMBER($B1985)),"Needs a date",IF(INT($B1985)&lt;PlanDate,"Past due",IF(INT($B1985)=PlanDate,"Due today",IF(AND(INDEX(Buffers!$L:$L,MATCH($H1985,Buffers!$AE:$AE,0))="Planned",$E1985&gt;0,INT($B1985)&lt;=PlanDate+ROUNDUP(IF(ISNUMBER(SpikeHorizon),SpikeHorizon,INDEX(Buffers!$D:$D,MATCH($H1985,Buffers!$AE:$AE,0))),0),$E1985&gt;=SpikePct*INDEX(Buffers!$P:$P,MATCH($H1985,Buffers!$AE:$AE,0))),"Spike","Not qualified"))))))</f>
        <v/>
      </c>
      <c r="G1985" s="8" t="str">
        <f aca="false">IF($A1985="","",IF(OR($F1985="Past due",$F1985="Due today",$F1985="Spike"),$C1985,0))</f>
        <v/>
      </c>
      <c r="H1985" s="8" t="str">
        <f aca="false">IF($A1985="","",SUBSTITUTE(SUBSTITUTE(SUBSTITUTE($A1985&amp;"","~","~~"),"*","~*"),"?","~?"))</f>
        <v/>
      </c>
    </row>
    <row r="1986" customFormat="false" ht="15" hidden="false" customHeight="false" outlineLevel="0" collapsed="false">
      <c r="A1986" s="11"/>
      <c r="B1986" s="6"/>
      <c r="C1986" s="11"/>
      <c r="D1986" s="11"/>
      <c r="E1986" s="8" t="str">
        <f aca="false">IF($A1986="","",SUMIFS($C:$C,$A:$A,$H1986,$B:$B,"&gt;="&amp;INT($B1986),$B:$B,"&lt;"&amp;(INT($B1986)+1)))</f>
        <v/>
      </c>
      <c r="F1986" s="19" t="str">
        <f aca="false">IF($A1986="","",IF(ISNA(MATCH($H1986,Buffers!$AE:$AE,0)),"Not on Buffers",IF(NOT(ISNUMBER($B1986)),"Needs a date",IF(INT($B1986)&lt;PlanDate,"Past due",IF(INT($B1986)=PlanDate,"Due today",IF(AND(INDEX(Buffers!$L:$L,MATCH($H1986,Buffers!$AE:$AE,0))="Planned",$E1986&gt;0,INT($B1986)&lt;=PlanDate+ROUNDUP(IF(ISNUMBER(SpikeHorizon),SpikeHorizon,INDEX(Buffers!$D:$D,MATCH($H1986,Buffers!$AE:$AE,0))),0),$E1986&gt;=SpikePct*INDEX(Buffers!$P:$P,MATCH($H1986,Buffers!$AE:$AE,0))),"Spike","Not qualified"))))))</f>
        <v/>
      </c>
      <c r="G1986" s="8" t="str">
        <f aca="false">IF($A1986="","",IF(OR($F1986="Past due",$F1986="Due today",$F1986="Spike"),$C1986,0))</f>
        <v/>
      </c>
      <c r="H1986" s="8" t="str">
        <f aca="false">IF($A1986="","",SUBSTITUTE(SUBSTITUTE(SUBSTITUTE($A1986&amp;"","~","~~"),"*","~*"),"?","~?"))</f>
        <v/>
      </c>
    </row>
    <row r="1987" customFormat="false" ht="15" hidden="false" customHeight="false" outlineLevel="0" collapsed="false">
      <c r="A1987" s="11"/>
      <c r="B1987" s="6"/>
      <c r="C1987" s="11"/>
      <c r="D1987" s="11"/>
      <c r="E1987" s="8" t="str">
        <f aca="false">IF($A1987="","",SUMIFS($C:$C,$A:$A,$H1987,$B:$B,"&gt;="&amp;INT($B1987),$B:$B,"&lt;"&amp;(INT($B1987)+1)))</f>
        <v/>
      </c>
      <c r="F1987" s="19" t="str">
        <f aca="false">IF($A1987="","",IF(ISNA(MATCH($H1987,Buffers!$AE:$AE,0)),"Not on Buffers",IF(NOT(ISNUMBER($B1987)),"Needs a date",IF(INT($B1987)&lt;PlanDate,"Past due",IF(INT($B1987)=PlanDate,"Due today",IF(AND(INDEX(Buffers!$L:$L,MATCH($H1987,Buffers!$AE:$AE,0))="Planned",$E1987&gt;0,INT($B1987)&lt;=PlanDate+ROUNDUP(IF(ISNUMBER(SpikeHorizon),SpikeHorizon,INDEX(Buffers!$D:$D,MATCH($H1987,Buffers!$AE:$AE,0))),0),$E1987&gt;=SpikePct*INDEX(Buffers!$P:$P,MATCH($H1987,Buffers!$AE:$AE,0))),"Spike","Not qualified"))))))</f>
        <v/>
      </c>
      <c r="G1987" s="8" t="str">
        <f aca="false">IF($A1987="","",IF(OR($F1987="Past due",$F1987="Due today",$F1987="Spike"),$C1987,0))</f>
        <v/>
      </c>
      <c r="H1987" s="8" t="str">
        <f aca="false">IF($A1987="","",SUBSTITUTE(SUBSTITUTE(SUBSTITUTE($A1987&amp;"","~","~~"),"*","~*"),"?","~?"))</f>
        <v/>
      </c>
    </row>
    <row r="1988" customFormat="false" ht="15" hidden="false" customHeight="false" outlineLevel="0" collapsed="false">
      <c r="A1988" s="11"/>
      <c r="B1988" s="6"/>
      <c r="C1988" s="11"/>
      <c r="D1988" s="11"/>
      <c r="E1988" s="8" t="str">
        <f aca="false">IF($A1988="","",SUMIFS($C:$C,$A:$A,$H1988,$B:$B,"&gt;="&amp;INT($B1988),$B:$B,"&lt;"&amp;(INT($B1988)+1)))</f>
        <v/>
      </c>
      <c r="F1988" s="19" t="str">
        <f aca="false">IF($A1988="","",IF(ISNA(MATCH($H1988,Buffers!$AE:$AE,0)),"Not on Buffers",IF(NOT(ISNUMBER($B1988)),"Needs a date",IF(INT($B1988)&lt;PlanDate,"Past due",IF(INT($B1988)=PlanDate,"Due today",IF(AND(INDEX(Buffers!$L:$L,MATCH($H1988,Buffers!$AE:$AE,0))="Planned",$E1988&gt;0,INT($B1988)&lt;=PlanDate+ROUNDUP(IF(ISNUMBER(SpikeHorizon),SpikeHorizon,INDEX(Buffers!$D:$D,MATCH($H1988,Buffers!$AE:$AE,0))),0),$E1988&gt;=SpikePct*INDEX(Buffers!$P:$P,MATCH($H1988,Buffers!$AE:$AE,0))),"Spike","Not qualified"))))))</f>
        <v/>
      </c>
      <c r="G1988" s="8" t="str">
        <f aca="false">IF($A1988="","",IF(OR($F1988="Past due",$F1988="Due today",$F1988="Spike"),$C1988,0))</f>
        <v/>
      </c>
      <c r="H1988" s="8" t="str">
        <f aca="false">IF($A1988="","",SUBSTITUTE(SUBSTITUTE(SUBSTITUTE($A1988&amp;"","~","~~"),"*","~*"),"?","~?"))</f>
        <v/>
      </c>
    </row>
    <row r="1989" customFormat="false" ht="15" hidden="false" customHeight="false" outlineLevel="0" collapsed="false">
      <c r="A1989" s="11"/>
      <c r="B1989" s="6"/>
      <c r="C1989" s="11"/>
      <c r="D1989" s="11"/>
      <c r="E1989" s="8" t="str">
        <f aca="false">IF($A1989="","",SUMIFS($C:$C,$A:$A,$H1989,$B:$B,"&gt;="&amp;INT($B1989),$B:$B,"&lt;"&amp;(INT($B1989)+1)))</f>
        <v/>
      </c>
      <c r="F1989" s="19" t="str">
        <f aca="false">IF($A1989="","",IF(ISNA(MATCH($H1989,Buffers!$AE:$AE,0)),"Not on Buffers",IF(NOT(ISNUMBER($B1989)),"Needs a date",IF(INT($B1989)&lt;PlanDate,"Past due",IF(INT($B1989)=PlanDate,"Due today",IF(AND(INDEX(Buffers!$L:$L,MATCH($H1989,Buffers!$AE:$AE,0))="Planned",$E1989&gt;0,INT($B1989)&lt;=PlanDate+ROUNDUP(IF(ISNUMBER(SpikeHorizon),SpikeHorizon,INDEX(Buffers!$D:$D,MATCH($H1989,Buffers!$AE:$AE,0))),0),$E1989&gt;=SpikePct*INDEX(Buffers!$P:$P,MATCH($H1989,Buffers!$AE:$AE,0))),"Spike","Not qualified"))))))</f>
        <v/>
      </c>
      <c r="G1989" s="8" t="str">
        <f aca="false">IF($A1989="","",IF(OR($F1989="Past due",$F1989="Due today",$F1989="Spike"),$C1989,0))</f>
        <v/>
      </c>
      <c r="H1989" s="8" t="str">
        <f aca="false">IF($A1989="","",SUBSTITUTE(SUBSTITUTE(SUBSTITUTE($A1989&amp;"","~","~~"),"*","~*"),"?","~?"))</f>
        <v/>
      </c>
    </row>
    <row r="1990" customFormat="false" ht="15" hidden="false" customHeight="false" outlineLevel="0" collapsed="false">
      <c r="A1990" s="11"/>
      <c r="B1990" s="6"/>
      <c r="C1990" s="11"/>
      <c r="D1990" s="11"/>
      <c r="E1990" s="8" t="str">
        <f aca="false">IF($A1990="","",SUMIFS($C:$C,$A:$A,$H1990,$B:$B,"&gt;="&amp;INT($B1990),$B:$B,"&lt;"&amp;(INT($B1990)+1)))</f>
        <v/>
      </c>
      <c r="F1990" s="19" t="str">
        <f aca="false">IF($A1990="","",IF(ISNA(MATCH($H1990,Buffers!$AE:$AE,0)),"Not on Buffers",IF(NOT(ISNUMBER($B1990)),"Needs a date",IF(INT($B1990)&lt;PlanDate,"Past due",IF(INT($B1990)=PlanDate,"Due today",IF(AND(INDEX(Buffers!$L:$L,MATCH($H1990,Buffers!$AE:$AE,0))="Planned",$E1990&gt;0,INT($B1990)&lt;=PlanDate+ROUNDUP(IF(ISNUMBER(SpikeHorizon),SpikeHorizon,INDEX(Buffers!$D:$D,MATCH($H1990,Buffers!$AE:$AE,0))),0),$E1990&gt;=SpikePct*INDEX(Buffers!$P:$P,MATCH($H1990,Buffers!$AE:$AE,0))),"Spike","Not qualified"))))))</f>
        <v/>
      </c>
      <c r="G1990" s="8" t="str">
        <f aca="false">IF($A1990="","",IF(OR($F1990="Past due",$F1990="Due today",$F1990="Spike"),$C1990,0))</f>
        <v/>
      </c>
      <c r="H1990" s="8" t="str">
        <f aca="false">IF($A1990="","",SUBSTITUTE(SUBSTITUTE(SUBSTITUTE($A1990&amp;"","~","~~"),"*","~*"),"?","~?"))</f>
        <v/>
      </c>
    </row>
    <row r="1991" customFormat="false" ht="15" hidden="false" customHeight="false" outlineLevel="0" collapsed="false">
      <c r="A1991" s="11"/>
      <c r="B1991" s="6"/>
      <c r="C1991" s="11"/>
      <c r="D1991" s="11"/>
      <c r="E1991" s="8" t="str">
        <f aca="false">IF($A1991="","",SUMIFS($C:$C,$A:$A,$H1991,$B:$B,"&gt;="&amp;INT($B1991),$B:$B,"&lt;"&amp;(INT($B1991)+1)))</f>
        <v/>
      </c>
      <c r="F1991" s="19" t="str">
        <f aca="false">IF($A1991="","",IF(ISNA(MATCH($H1991,Buffers!$AE:$AE,0)),"Not on Buffers",IF(NOT(ISNUMBER($B1991)),"Needs a date",IF(INT($B1991)&lt;PlanDate,"Past due",IF(INT($B1991)=PlanDate,"Due today",IF(AND(INDEX(Buffers!$L:$L,MATCH($H1991,Buffers!$AE:$AE,0))="Planned",$E1991&gt;0,INT($B1991)&lt;=PlanDate+ROUNDUP(IF(ISNUMBER(SpikeHorizon),SpikeHorizon,INDEX(Buffers!$D:$D,MATCH($H1991,Buffers!$AE:$AE,0))),0),$E1991&gt;=SpikePct*INDEX(Buffers!$P:$P,MATCH($H1991,Buffers!$AE:$AE,0))),"Spike","Not qualified"))))))</f>
        <v/>
      </c>
      <c r="G1991" s="8" t="str">
        <f aca="false">IF($A1991="","",IF(OR($F1991="Past due",$F1991="Due today",$F1991="Spike"),$C1991,0))</f>
        <v/>
      </c>
      <c r="H1991" s="8" t="str">
        <f aca="false">IF($A1991="","",SUBSTITUTE(SUBSTITUTE(SUBSTITUTE($A1991&amp;"","~","~~"),"*","~*"),"?","~?"))</f>
        <v/>
      </c>
    </row>
    <row r="1992" customFormat="false" ht="15" hidden="false" customHeight="false" outlineLevel="0" collapsed="false">
      <c r="A1992" s="11"/>
      <c r="B1992" s="6"/>
      <c r="C1992" s="11"/>
      <c r="D1992" s="11"/>
      <c r="E1992" s="8" t="str">
        <f aca="false">IF($A1992="","",SUMIFS($C:$C,$A:$A,$H1992,$B:$B,"&gt;="&amp;INT($B1992),$B:$B,"&lt;"&amp;(INT($B1992)+1)))</f>
        <v/>
      </c>
      <c r="F1992" s="19" t="str">
        <f aca="false">IF($A1992="","",IF(ISNA(MATCH($H1992,Buffers!$AE:$AE,0)),"Not on Buffers",IF(NOT(ISNUMBER($B1992)),"Needs a date",IF(INT($B1992)&lt;PlanDate,"Past due",IF(INT($B1992)=PlanDate,"Due today",IF(AND(INDEX(Buffers!$L:$L,MATCH($H1992,Buffers!$AE:$AE,0))="Planned",$E1992&gt;0,INT($B1992)&lt;=PlanDate+ROUNDUP(IF(ISNUMBER(SpikeHorizon),SpikeHorizon,INDEX(Buffers!$D:$D,MATCH($H1992,Buffers!$AE:$AE,0))),0),$E1992&gt;=SpikePct*INDEX(Buffers!$P:$P,MATCH($H1992,Buffers!$AE:$AE,0))),"Spike","Not qualified"))))))</f>
        <v/>
      </c>
      <c r="G1992" s="8" t="str">
        <f aca="false">IF($A1992="","",IF(OR($F1992="Past due",$F1992="Due today",$F1992="Spike"),$C1992,0))</f>
        <v/>
      </c>
      <c r="H1992" s="8" t="str">
        <f aca="false">IF($A1992="","",SUBSTITUTE(SUBSTITUTE(SUBSTITUTE($A1992&amp;"","~","~~"),"*","~*"),"?","~?"))</f>
        <v/>
      </c>
    </row>
    <row r="1993" customFormat="false" ht="15" hidden="false" customHeight="false" outlineLevel="0" collapsed="false">
      <c r="A1993" s="11"/>
      <c r="B1993" s="6"/>
      <c r="C1993" s="11"/>
      <c r="D1993" s="11"/>
      <c r="E1993" s="8" t="str">
        <f aca="false">IF($A1993="","",SUMIFS($C:$C,$A:$A,$H1993,$B:$B,"&gt;="&amp;INT($B1993),$B:$B,"&lt;"&amp;(INT($B1993)+1)))</f>
        <v/>
      </c>
      <c r="F1993" s="19" t="str">
        <f aca="false">IF($A1993="","",IF(ISNA(MATCH($H1993,Buffers!$AE:$AE,0)),"Not on Buffers",IF(NOT(ISNUMBER($B1993)),"Needs a date",IF(INT($B1993)&lt;PlanDate,"Past due",IF(INT($B1993)=PlanDate,"Due today",IF(AND(INDEX(Buffers!$L:$L,MATCH($H1993,Buffers!$AE:$AE,0))="Planned",$E1993&gt;0,INT($B1993)&lt;=PlanDate+ROUNDUP(IF(ISNUMBER(SpikeHorizon),SpikeHorizon,INDEX(Buffers!$D:$D,MATCH($H1993,Buffers!$AE:$AE,0))),0),$E1993&gt;=SpikePct*INDEX(Buffers!$P:$P,MATCH($H1993,Buffers!$AE:$AE,0))),"Spike","Not qualified"))))))</f>
        <v/>
      </c>
      <c r="G1993" s="8" t="str">
        <f aca="false">IF($A1993="","",IF(OR($F1993="Past due",$F1993="Due today",$F1993="Spike"),$C1993,0))</f>
        <v/>
      </c>
      <c r="H1993" s="8" t="str">
        <f aca="false">IF($A1993="","",SUBSTITUTE(SUBSTITUTE(SUBSTITUTE($A1993&amp;"","~","~~"),"*","~*"),"?","~?"))</f>
        <v/>
      </c>
    </row>
    <row r="1994" customFormat="false" ht="15" hidden="false" customHeight="false" outlineLevel="0" collapsed="false">
      <c r="A1994" s="11"/>
      <c r="B1994" s="6"/>
      <c r="C1994" s="11"/>
      <c r="D1994" s="11"/>
      <c r="E1994" s="8" t="str">
        <f aca="false">IF($A1994="","",SUMIFS($C:$C,$A:$A,$H1994,$B:$B,"&gt;="&amp;INT($B1994),$B:$B,"&lt;"&amp;(INT($B1994)+1)))</f>
        <v/>
      </c>
      <c r="F1994" s="19" t="str">
        <f aca="false">IF($A1994="","",IF(ISNA(MATCH($H1994,Buffers!$AE:$AE,0)),"Not on Buffers",IF(NOT(ISNUMBER($B1994)),"Needs a date",IF(INT($B1994)&lt;PlanDate,"Past due",IF(INT($B1994)=PlanDate,"Due today",IF(AND(INDEX(Buffers!$L:$L,MATCH($H1994,Buffers!$AE:$AE,0))="Planned",$E1994&gt;0,INT($B1994)&lt;=PlanDate+ROUNDUP(IF(ISNUMBER(SpikeHorizon),SpikeHorizon,INDEX(Buffers!$D:$D,MATCH($H1994,Buffers!$AE:$AE,0))),0),$E1994&gt;=SpikePct*INDEX(Buffers!$P:$P,MATCH($H1994,Buffers!$AE:$AE,0))),"Spike","Not qualified"))))))</f>
        <v/>
      </c>
      <c r="G1994" s="8" t="str">
        <f aca="false">IF($A1994="","",IF(OR($F1994="Past due",$F1994="Due today",$F1994="Spike"),$C1994,0))</f>
        <v/>
      </c>
      <c r="H1994" s="8" t="str">
        <f aca="false">IF($A1994="","",SUBSTITUTE(SUBSTITUTE(SUBSTITUTE($A1994&amp;"","~","~~"),"*","~*"),"?","~?"))</f>
        <v/>
      </c>
    </row>
    <row r="1995" customFormat="false" ht="15" hidden="false" customHeight="false" outlineLevel="0" collapsed="false">
      <c r="A1995" s="11"/>
      <c r="B1995" s="6"/>
      <c r="C1995" s="11"/>
      <c r="D1995" s="11"/>
      <c r="E1995" s="8" t="str">
        <f aca="false">IF($A1995="","",SUMIFS($C:$C,$A:$A,$H1995,$B:$B,"&gt;="&amp;INT($B1995),$B:$B,"&lt;"&amp;(INT($B1995)+1)))</f>
        <v/>
      </c>
      <c r="F1995" s="19" t="str">
        <f aca="false">IF($A1995="","",IF(ISNA(MATCH($H1995,Buffers!$AE:$AE,0)),"Not on Buffers",IF(NOT(ISNUMBER($B1995)),"Needs a date",IF(INT($B1995)&lt;PlanDate,"Past due",IF(INT($B1995)=PlanDate,"Due today",IF(AND(INDEX(Buffers!$L:$L,MATCH($H1995,Buffers!$AE:$AE,0))="Planned",$E1995&gt;0,INT($B1995)&lt;=PlanDate+ROUNDUP(IF(ISNUMBER(SpikeHorizon),SpikeHorizon,INDEX(Buffers!$D:$D,MATCH($H1995,Buffers!$AE:$AE,0))),0),$E1995&gt;=SpikePct*INDEX(Buffers!$P:$P,MATCH($H1995,Buffers!$AE:$AE,0))),"Spike","Not qualified"))))))</f>
        <v/>
      </c>
      <c r="G1995" s="8" t="str">
        <f aca="false">IF($A1995="","",IF(OR($F1995="Past due",$F1995="Due today",$F1995="Spike"),$C1995,0))</f>
        <v/>
      </c>
      <c r="H1995" s="8" t="str">
        <f aca="false">IF($A1995="","",SUBSTITUTE(SUBSTITUTE(SUBSTITUTE($A1995&amp;"","~","~~"),"*","~*"),"?","~?"))</f>
        <v/>
      </c>
    </row>
    <row r="1996" customFormat="false" ht="15" hidden="false" customHeight="false" outlineLevel="0" collapsed="false">
      <c r="A1996" s="11"/>
      <c r="B1996" s="6"/>
      <c r="C1996" s="11"/>
      <c r="D1996" s="11"/>
      <c r="E1996" s="8" t="str">
        <f aca="false">IF($A1996="","",SUMIFS($C:$C,$A:$A,$H1996,$B:$B,"&gt;="&amp;INT($B1996),$B:$B,"&lt;"&amp;(INT($B1996)+1)))</f>
        <v/>
      </c>
      <c r="F1996" s="19" t="str">
        <f aca="false">IF($A1996="","",IF(ISNA(MATCH($H1996,Buffers!$AE:$AE,0)),"Not on Buffers",IF(NOT(ISNUMBER($B1996)),"Needs a date",IF(INT($B1996)&lt;PlanDate,"Past due",IF(INT($B1996)=PlanDate,"Due today",IF(AND(INDEX(Buffers!$L:$L,MATCH($H1996,Buffers!$AE:$AE,0))="Planned",$E1996&gt;0,INT($B1996)&lt;=PlanDate+ROUNDUP(IF(ISNUMBER(SpikeHorizon),SpikeHorizon,INDEX(Buffers!$D:$D,MATCH($H1996,Buffers!$AE:$AE,0))),0),$E1996&gt;=SpikePct*INDEX(Buffers!$P:$P,MATCH($H1996,Buffers!$AE:$AE,0))),"Spike","Not qualified"))))))</f>
        <v/>
      </c>
      <c r="G1996" s="8" t="str">
        <f aca="false">IF($A1996="","",IF(OR($F1996="Past due",$F1996="Due today",$F1996="Spike"),$C1996,0))</f>
        <v/>
      </c>
      <c r="H1996" s="8" t="str">
        <f aca="false">IF($A1996="","",SUBSTITUTE(SUBSTITUTE(SUBSTITUTE($A1996&amp;"","~","~~"),"*","~*"),"?","~?"))</f>
        <v/>
      </c>
    </row>
    <row r="1997" customFormat="false" ht="15" hidden="false" customHeight="false" outlineLevel="0" collapsed="false">
      <c r="A1997" s="11"/>
      <c r="B1997" s="6"/>
      <c r="C1997" s="11"/>
      <c r="D1997" s="11"/>
      <c r="E1997" s="8" t="str">
        <f aca="false">IF($A1997="","",SUMIFS($C:$C,$A:$A,$H1997,$B:$B,"&gt;="&amp;INT($B1997),$B:$B,"&lt;"&amp;(INT($B1997)+1)))</f>
        <v/>
      </c>
      <c r="F1997" s="19" t="str">
        <f aca="false">IF($A1997="","",IF(ISNA(MATCH($H1997,Buffers!$AE:$AE,0)),"Not on Buffers",IF(NOT(ISNUMBER($B1997)),"Needs a date",IF(INT($B1997)&lt;PlanDate,"Past due",IF(INT($B1997)=PlanDate,"Due today",IF(AND(INDEX(Buffers!$L:$L,MATCH($H1997,Buffers!$AE:$AE,0))="Planned",$E1997&gt;0,INT($B1997)&lt;=PlanDate+ROUNDUP(IF(ISNUMBER(SpikeHorizon),SpikeHorizon,INDEX(Buffers!$D:$D,MATCH($H1997,Buffers!$AE:$AE,0))),0),$E1997&gt;=SpikePct*INDEX(Buffers!$P:$P,MATCH($H1997,Buffers!$AE:$AE,0))),"Spike","Not qualified"))))))</f>
        <v/>
      </c>
      <c r="G1997" s="8" t="str">
        <f aca="false">IF($A1997="","",IF(OR($F1997="Past due",$F1997="Due today",$F1997="Spike"),$C1997,0))</f>
        <v/>
      </c>
      <c r="H1997" s="8" t="str">
        <f aca="false">IF($A1997="","",SUBSTITUTE(SUBSTITUTE(SUBSTITUTE($A1997&amp;"","~","~~"),"*","~*"),"?","~?"))</f>
        <v/>
      </c>
    </row>
    <row r="1998" customFormat="false" ht="15" hidden="false" customHeight="false" outlineLevel="0" collapsed="false">
      <c r="A1998" s="11"/>
      <c r="B1998" s="6"/>
      <c r="C1998" s="11"/>
      <c r="D1998" s="11"/>
      <c r="E1998" s="8" t="str">
        <f aca="false">IF($A1998="","",SUMIFS($C:$C,$A:$A,$H1998,$B:$B,"&gt;="&amp;INT($B1998),$B:$B,"&lt;"&amp;(INT($B1998)+1)))</f>
        <v/>
      </c>
      <c r="F1998" s="19" t="str">
        <f aca="false">IF($A1998="","",IF(ISNA(MATCH($H1998,Buffers!$AE:$AE,0)),"Not on Buffers",IF(NOT(ISNUMBER($B1998)),"Needs a date",IF(INT($B1998)&lt;PlanDate,"Past due",IF(INT($B1998)=PlanDate,"Due today",IF(AND(INDEX(Buffers!$L:$L,MATCH($H1998,Buffers!$AE:$AE,0))="Planned",$E1998&gt;0,INT($B1998)&lt;=PlanDate+ROUNDUP(IF(ISNUMBER(SpikeHorizon),SpikeHorizon,INDEX(Buffers!$D:$D,MATCH($H1998,Buffers!$AE:$AE,0))),0),$E1998&gt;=SpikePct*INDEX(Buffers!$P:$P,MATCH($H1998,Buffers!$AE:$AE,0))),"Spike","Not qualified"))))))</f>
        <v/>
      </c>
      <c r="G1998" s="8" t="str">
        <f aca="false">IF($A1998="","",IF(OR($F1998="Past due",$F1998="Due today",$F1998="Spike"),$C1998,0))</f>
        <v/>
      </c>
      <c r="H1998" s="8" t="str">
        <f aca="false">IF($A1998="","",SUBSTITUTE(SUBSTITUTE(SUBSTITUTE($A1998&amp;"","~","~~"),"*","~*"),"?","~?"))</f>
        <v/>
      </c>
    </row>
    <row r="1999" customFormat="false" ht="15" hidden="false" customHeight="false" outlineLevel="0" collapsed="false">
      <c r="A1999" s="11"/>
      <c r="B1999" s="6"/>
      <c r="C1999" s="11"/>
      <c r="D1999" s="11"/>
      <c r="E1999" s="8" t="str">
        <f aca="false">IF($A1999="","",SUMIFS($C:$C,$A:$A,$H1999,$B:$B,"&gt;="&amp;INT($B1999),$B:$B,"&lt;"&amp;(INT($B1999)+1)))</f>
        <v/>
      </c>
      <c r="F1999" s="19" t="str">
        <f aca="false">IF($A1999="","",IF(ISNA(MATCH($H1999,Buffers!$AE:$AE,0)),"Not on Buffers",IF(NOT(ISNUMBER($B1999)),"Needs a date",IF(INT($B1999)&lt;PlanDate,"Past due",IF(INT($B1999)=PlanDate,"Due today",IF(AND(INDEX(Buffers!$L:$L,MATCH($H1999,Buffers!$AE:$AE,0))="Planned",$E1999&gt;0,INT($B1999)&lt;=PlanDate+ROUNDUP(IF(ISNUMBER(SpikeHorizon),SpikeHorizon,INDEX(Buffers!$D:$D,MATCH($H1999,Buffers!$AE:$AE,0))),0),$E1999&gt;=SpikePct*INDEX(Buffers!$P:$P,MATCH($H1999,Buffers!$AE:$AE,0))),"Spike","Not qualified"))))))</f>
        <v/>
      </c>
      <c r="G1999" s="8" t="str">
        <f aca="false">IF($A1999="","",IF(OR($F1999="Past due",$F1999="Due today",$F1999="Spike"),$C1999,0))</f>
        <v/>
      </c>
      <c r="H1999" s="8" t="str">
        <f aca="false">IF($A1999="","",SUBSTITUTE(SUBSTITUTE(SUBSTITUTE($A1999&amp;"","~","~~"),"*","~*"),"?","~?"))</f>
        <v/>
      </c>
    </row>
    <row r="2000" customFormat="false" ht="15" hidden="false" customHeight="false" outlineLevel="0" collapsed="false">
      <c r="A2000" s="11"/>
      <c r="B2000" s="6"/>
      <c r="C2000" s="11"/>
      <c r="D2000" s="11"/>
      <c r="E2000" s="8" t="str">
        <f aca="false">IF($A2000="","",SUMIFS($C:$C,$A:$A,$H2000,$B:$B,"&gt;="&amp;INT($B2000),$B:$B,"&lt;"&amp;(INT($B2000)+1)))</f>
        <v/>
      </c>
      <c r="F2000" s="19" t="str">
        <f aca="false">IF($A2000="","",IF(ISNA(MATCH($H2000,Buffers!$AE:$AE,0)),"Not on Buffers",IF(NOT(ISNUMBER($B2000)),"Needs a date",IF(INT($B2000)&lt;PlanDate,"Past due",IF(INT($B2000)=PlanDate,"Due today",IF(AND(INDEX(Buffers!$L:$L,MATCH($H2000,Buffers!$AE:$AE,0))="Planned",$E2000&gt;0,INT($B2000)&lt;=PlanDate+ROUNDUP(IF(ISNUMBER(SpikeHorizon),SpikeHorizon,INDEX(Buffers!$D:$D,MATCH($H2000,Buffers!$AE:$AE,0))),0),$E2000&gt;=SpikePct*INDEX(Buffers!$P:$P,MATCH($H2000,Buffers!$AE:$AE,0))),"Spike","Not qualified"))))))</f>
        <v/>
      </c>
      <c r="G2000" s="8" t="str">
        <f aca="false">IF($A2000="","",IF(OR($F2000="Past due",$F2000="Due today",$F2000="Spike"),$C2000,0))</f>
        <v/>
      </c>
      <c r="H2000" s="8" t="str">
        <f aca="false">IF($A2000="","",SUBSTITUTE(SUBSTITUTE(SUBSTITUTE($A2000&amp;"","~","~~"),"*","~*"),"?","~?"))</f>
        <v/>
      </c>
    </row>
    <row r="2001" customFormat="false" ht="15" hidden="false" customHeight="false" outlineLevel="0" collapsed="false">
      <c r="A2001" s="11"/>
      <c r="B2001" s="6"/>
      <c r="C2001" s="11"/>
      <c r="D2001" s="11"/>
      <c r="E2001" s="8" t="str">
        <f aca="false">IF($A2001="","",SUMIFS($C:$C,$A:$A,$H2001,$B:$B,"&gt;="&amp;INT($B2001),$B:$B,"&lt;"&amp;(INT($B2001)+1)))</f>
        <v/>
      </c>
      <c r="F2001" s="19" t="str">
        <f aca="false">IF($A2001="","",IF(ISNA(MATCH($H2001,Buffers!$AE:$AE,0)),"Not on Buffers",IF(NOT(ISNUMBER($B2001)),"Needs a date",IF(INT($B2001)&lt;PlanDate,"Past due",IF(INT($B2001)=PlanDate,"Due today",IF(AND(INDEX(Buffers!$L:$L,MATCH($H2001,Buffers!$AE:$AE,0))="Planned",$E2001&gt;0,INT($B2001)&lt;=PlanDate+ROUNDUP(IF(ISNUMBER(SpikeHorizon),SpikeHorizon,INDEX(Buffers!$D:$D,MATCH($H2001,Buffers!$AE:$AE,0))),0),$E2001&gt;=SpikePct*INDEX(Buffers!$P:$P,MATCH($H2001,Buffers!$AE:$AE,0))),"Spike","Not qualified"))))))</f>
        <v/>
      </c>
      <c r="G2001" s="8" t="str">
        <f aca="false">IF($A2001="","",IF(OR($F2001="Past due",$F2001="Due today",$F2001="Spike"),$C2001,0))</f>
        <v/>
      </c>
      <c r="H2001" s="8" t="str">
        <f aca="false">IF($A2001="","",SUBSTITUTE(SUBSTITUTE(SUBSTITUTE($A2001&amp;"","~","~~"),"*","~*"),"?","~?"))</f>
        <v/>
      </c>
    </row>
  </sheetData>
  <conditionalFormatting sqref="F2:F2001">
    <cfRule type="expression" priority="2" aboveAverage="0" equalAverage="0" bottom="0" percent="0" rank="0" text="" dxfId="1">
      <formula>OR($F2="Past due",$F2="Due today",$F2="Spike")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2026-10-16T13:36:12Z</dcterms:created>
  <dc:creator>openpyxl</dc:creator>
  <dc:description/>
  <dc:language>en-US</dc:language>
  <cp:lastModifiedBy/>
  <dcterms:modified xsi:type="dcterms:W3CDTF">2026-10-16T13:36:13Z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